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41" activeTab="3"/>
  </bookViews>
  <sheets>
    <sheet name="Vardzakalutyun" sheetId="29" r:id="rId1"/>
    <sheet name="Sheet1" sheetId="32" r:id="rId2"/>
    <sheet name="Sheet2" sheetId="33" r:id="rId3"/>
    <sheet name="client" sheetId="34" r:id="rId4"/>
  </sheets>
  <externalReferences>
    <externalReference r:id="rId5"/>
  </externalReferences>
  <definedNames>
    <definedName name="_COMPANYNAME">'[1]Page 1'!$B$12</definedName>
    <definedName name="_DATE2">'[1]Page 1'!$B$17</definedName>
    <definedName name="_xlnm.Print_Area" localSheetId="0">Vardzakalutyun!$A$1:$K$20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</definedNames>
  <calcPr calcId="144525"/>
  <fileRecoveryPr autoRecover="0"/>
</workbook>
</file>

<file path=xl/calcChain.xml><?xml version="1.0" encoding="utf-8"?>
<calcChain xmlns="http://schemas.openxmlformats.org/spreadsheetml/2006/main">
  <c r="F63" i="34" l="1"/>
  <c r="O61" i="34"/>
  <c r="N63" i="34"/>
  <c r="M63" i="34"/>
  <c r="K63" i="34"/>
  <c r="J63" i="34"/>
  <c r="F61" i="34"/>
  <c r="G42" i="34"/>
  <c r="H42" i="34"/>
  <c r="N182" i="34"/>
  <c r="M182" i="34"/>
  <c r="K182" i="34"/>
  <c r="J182" i="34"/>
  <c r="H182" i="34"/>
  <c r="G182" i="34"/>
  <c r="O179" i="34"/>
  <c r="L179" i="34"/>
  <c r="I179" i="34"/>
  <c r="F179" i="34"/>
  <c r="O177" i="34"/>
  <c r="L177" i="34"/>
  <c r="I177" i="34"/>
  <c r="F177" i="34"/>
  <c r="O171" i="34"/>
  <c r="L171" i="34"/>
  <c r="I171" i="34"/>
  <c r="F171" i="34"/>
  <c r="O166" i="34"/>
  <c r="L166" i="34"/>
  <c r="I166" i="34"/>
  <c r="F166" i="34"/>
  <c r="O164" i="34"/>
  <c r="L164" i="34"/>
  <c r="I164" i="34"/>
  <c r="F164" i="34"/>
  <c r="O159" i="34"/>
  <c r="L159" i="34"/>
  <c r="I159" i="34"/>
  <c r="F159" i="34"/>
  <c r="O148" i="34"/>
  <c r="L148" i="34"/>
  <c r="L147" i="34" s="1"/>
  <c r="L146" i="34" s="1"/>
  <c r="I148" i="34"/>
  <c r="F148" i="34"/>
  <c r="O147" i="34"/>
  <c r="I147" i="34"/>
  <c r="F147" i="34"/>
  <c r="F146" i="34" s="1"/>
  <c r="O146" i="34"/>
  <c r="I146" i="34"/>
  <c r="O144" i="34"/>
  <c r="L144" i="34"/>
  <c r="I144" i="34"/>
  <c r="F144" i="34"/>
  <c r="O142" i="34"/>
  <c r="L142" i="34"/>
  <c r="K142" i="34"/>
  <c r="J142" i="34"/>
  <c r="I142" i="34"/>
  <c r="F142" i="34"/>
  <c r="O140" i="34"/>
  <c r="L140" i="34"/>
  <c r="I140" i="34"/>
  <c r="F140" i="34"/>
  <c r="O137" i="34"/>
  <c r="L137" i="34"/>
  <c r="I137" i="34"/>
  <c r="F137" i="34"/>
  <c r="O135" i="34"/>
  <c r="L135" i="34"/>
  <c r="I135" i="34"/>
  <c r="F135" i="34"/>
  <c r="O130" i="34"/>
  <c r="L130" i="34"/>
  <c r="I130" i="34"/>
  <c r="F130" i="34"/>
  <c r="O127" i="34"/>
  <c r="L127" i="34"/>
  <c r="I127" i="34"/>
  <c r="F127" i="34"/>
  <c r="O116" i="34"/>
  <c r="L116" i="34"/>
  <c r="I116" i="34"/>
  <c r="F116" i="34"/>
  <c r="O113" i="34"/>
  <c r="L113" i="34"/>
  <c r="I113" i="34"/>
  <c r="F113" i="34"/>
  <c r="O112" i="34"/>
  <c r="L112" i="34"/>
  <c r="I112" i="34"/>
  <c r="F112" i="34"/>
  <c r="O107" i="34"/>
  <c r="L107" i="34"/>
  <c r="I107" i="34"/>
  <c r="F107" i="34"/>
  <c r="O102" i="34"/>
  <c r="L102" i="34"/>
  <c r="I102" i="34"/>
  <c r="F102" i="34"/>
  <c r="O101" i="34"/>
  <c r="L101" i="34"/>
  <c r="I101" i="34"/>
  <c r="F101" i="34"/>
  <c r="O96" i="34"/>
  <c r="L96" i="34"/>
  <c r="I96" i="34"/>
  <c r="F96" i="34"/>
  <c r="O87" i="34"/>
  <c r="L87" i="34"/>
  <c r="I87" i="34"/>
  <c r="F87" i="34"/>
  <c r="O84" i="34"/>
  <c r="L84" i="34"/>
  <c r="I84" i="34"/>
  <c r="F84" i="34"/>
  <c r="F83" i="34"/>
  <c r="O82" i="34"/>
  <c r="L82" i="34"/>
  <c r="I82" i="34"/>
  <c r="F82" i="34"/>
  <c r="O73" i="34"/>
  <c r="L73" i="34"/>
  <c r="I73" i="34"/>
  <c r="F73" i="34"/>
  <c r="O69" i="34"/>
  <c r="L69" i="34"/>
  <c r="I69" i="34"/>
  <c r="F69" i="34"/>
  <c r="L61" i="34"/>
  <c r="I61" i="34"/>
  <c r="O54" i="34"/>
  <c r="L54" i="34"/>
  <c r="I54" i="34"/>
  <c r="F54" i="34"/>
  <c r="O48" i="34"/>
  <c r="L48" i="34"/>
  <c r="I48" i="34"/>
  <c r="F48" i="34"/>
  <c r="O47" i="34"/>
  <c r="L47" i="34"/>
  <c r="I47" i="34"/>
  <c r="F47" i="34"/>
  <c r="O44" i="34"/>
  <c r="L44" i="34"/>
  <c r="I44" i="34"/>
  <c r="I42" i="34" s="1"/>
  <c r="F44" i="34"/>
  <c r="F42" i="34" s="1"/>
  <c r="O42" i="34"/>
  <c r="L42" i="34"/>
  <c r="N40" i="34"/>
  <c r="N39" i="34" s="1"/>
  <c r="M40" i="34"/>
  <c r="M39" i="34" s="1"/>
  <c r="R39" i="34"/>
  <c r="O36" i="34"/>
  <c r="L36" i="34"/>
  <c r="I36" i="34"/>
  <c r="F36" i="34"/>
  <c r="O33" i="34"/>
  <c r="L33" i="34"/>
  <c r="I33" i="34"/>
  <c r="F33" i="34"/>
  <c r="F32" i="34" s="1"/>
  <c r="F31" i="34" s="1"/>
  <c r="F24" i="34" s="1"/>
  <c r="O32" i="34"/>
  <c r="O31" i="34" s="1"/>
  <c r="O24" i="34" s="1"/>
  <c r="L32" i="34"/>
  <c r="I32" i="34"/>
  <c r="L31" i="34"/>
  <c r="I31" i="34"/>
  <c r="O28" i="34"/>
  <c r="L28" i="34"/>
  <c r="I28" i="34"/>
  <c r="F28" i="34"/>
  <c r="O25" i="34"/>
  <c r="L25" i="34"/>
  <c r="I25" i="34"/>
  <c r="F25" i="34"/>
  <c r="L24" i="34"/>
  <c r="I24" i="34"/>
  <c r="H45" i="33"/>
  <c r="J39" i="33"/>
  <c r="I39" i="33"/>
  <c r="E42" i="33"/>
  <c r="C42" i="33"/>
  <c r="F41" i="33"/>
  <c r="F40" i="33"/>
  <c r="F39" i="33"/>
  <c r="F38" i="33"/>
  <c r="F37" i="33"/>
  <c r="F36" i="33"/>
  <c r="F35" i="33"/>
  <c r="F34" i="33"/>
  <c r="F33" i="33"/>
  <c r="F32" i="33"/>
  <c r="F31" i="33"/>
  <c r="F29" i="33"/>
  <c r="F28" i="33"/>
  <c r="F27" i="33"/>
  <c r="F26" i="33"/>
  <c r="F25" i="33"/>
  <c r="F24" i="33"/>
  <c r="F22" i="33"/>
  <c r="F21" i="33"/>
  <c r="F20" i="33"/>
  <c r="I60" i="34" l="1"/>
  <c r="F60" i="34"/>
  <c r="L60" i="34"/>
  <c r="O39" i="34"/>
  <c r="O23" i="34" s="1"/>
  <c r="L39" i="34"/>
  <c r="L23" i="34" s="1"/>
  <c r="I39" i="34"/>
  <c r="I23" i="34" s="1"/>
  <c r="F39" i="34"/>
  <c r="F23" i="34" s="1"/>
  <c r="O60" i="34"/>
  <c r="F42" i="33"/>
  <c r="H44" i="33" s="1"/>
  <c r="L182" i="34" l="1"/>
  <c r="I182" i="34"/>
  <c r="O182" i="34"/>
  <c r="F182" i="34"/>
  <c r="G18" i="32" l="1"/>
  <c r="H19" i="32" s="1"/>
  <c r="L18" i="32"/>
  <c r="G16" i="32"/>
  <c r="G15" i="32"/>
  <c r="G14" i="32"/>
  <c r="G13" i="32"/>
  <c r="G12" i="32"/>
  <c r="G11" i="32"/>
  <c r="G10" i="32"/>
  <c r="G9" i="32"/>
  <c r="G8" i="32"/>
  <c r="G7" i="32"/>
  <c r="D18" i="32"/>
  <c r="D17" i="32"/>
  <c r="M38" i="32"/>
  <c r="M25" i="32"/>
  <c r="J25" i="32"/>
  <c r="F25" i="32"/>
  <c r="E19" i="32"/>
  <c r="C19" i="32"/>
  <c r="F18" i="32"/>
  <c r="N17" i="32"/>
  <c r="M17" i="32"/>
  <c r="J17" i="32"/>
  <c r="F17" i="32"/>
  <c r="F19" i="32" s="1"/>
  <c r="N16" i="32"/>
  <c r="O16" i="32" s="1"/>
  <c r="M16" i="32"/>
  <c r="I16" i="32"/>
  <c r="N15" i="32"/>
  <c r="M15" i="32"/>
  <c r="I15" i="32"/>
  <c r="N14" i="32"/>
  <c r="O14" i="32" s="1"/>
  <c r="M14" i="32"/>
  <c r="I14" i="32"/>
  <c r="N13" i="32"/>
  <c r="M13" i="32"/>
  <c r="I13" i="32"/>
  <c r="N12" i="32"/>
  <c r="O12" i="32" s="1"/>
  <c r="M12" i="32"/>
  <c r="I12" i="32"/>
  <c r="N11" i="32"/>
  <c r="M11" i="32"/>
  <c r="I11" i="32"/>
  <c r="N10" i="32"/>
  <c r="O10" i="32" s="1"/>
  <c r="M10" i="32"/>
  <c r="I10" i="32"/>
  <c r="N9" i="32"/>
  <c r="M9" i="32"/>
  <c r="I9" i="32"/>
  <c r="N8" i="32"/>
  <c r="O8" i="32" s="1"/>
  <c r="M8" i="32"/>
  <c r="I8" i="32"/>
  <c r="N7" i="32"/>
  <c r="M7" i="32"/>
  <c r="I7" i="32"/>
  <c r="M27" i="32" l="1"/>
  <c r="G19" i="32"/>
  <c r="I19" i="32"/>
  <c r="O9" i="32"/>
  <c r="O13" i="32"/>
  <c r="O11" i="32"/>
  <c r="O15" i="32"/>
  <c r="K19" i="32"/>
  <c r="O17" i="32"/>
  <c r="N18" i="32"/>
  <c r="N19" i="32" s="1"/>
  <c r="N20" i="32" s="1"/>
  <c r="L19" i="32"/>
  <c r="M18" i="32"/>
  <c r="M19" i="32" s="1"/>
  <c r="D19" i="32"/>
  <c r="J19" i="32"/>
  <c r="J26" i="32" s="1"/>
  <c r="F20" i="32"/>
  <c r="F26" i="32"/>
  <c r="O7" i="32"/>
  <c r="J20" i="32" l="1"/>
  <c r="M26" i="32"/>
  <c r="M20" i="32"/>
  <c r="O18" i="32"/>
  <c r="O19" i="32" s="1"/>
  <c r="O20" i="32" s="1"/>
  <c r="P20" i="32" l="1"/>
  <c r="I8" i="29"/>
  <c r="I12" i="29"/>
  <c r="I9" i="29"/>
  <c r="I13" i="29"/>
  <c r="J13" i="29" s="1"/>
  <c r="I11" i="29"/>
  <c r="I7" i="29"/>
  <c r="G16" i="29"/>
  <c r="J15" i="29"/>
  <c r="J14" i="29"/>
  <c r="H12" i="29"/>
  <c r="H11" i="29"/>
  <c r="H9" i="29"/>
  <c r="J9" i="29" s="1"/>
  <c r="H8" i="29"/>
  <c r="H7" i="29"/>
  <c r="J7" i="29" s="1"/>
  <c r="J11" i="29" l="1"/>
  <c r="H16" i="29"/>
  <c r="L16" i="29" s="1"/>
  <c r="J12" i="29"/>
  <c r="I16" i="29"/>
  <c r="J16" i="29" s="1"/>
  <c r="J8" i="29"/>
</calcChain>
</file>

<file path=xl/sharedStrings.xml><?xml version="1.0" encoding="utf-8"?>
<sst xmlns="http://schemas.openxmlformats.org/spreadsheetml/2006/main" count="448" uniqueCount="358">
  <si>
    <t>հ/հ</t>
  </si>
  <si>
    <t>Ծանոթություն</t>
  </si>
  <si>
    <t>Կ.Տ</t>
  </si>
  <si>
    <t>ՏՆՕՐԵՆ՝</t>
  </si>
  <si>
    <t>ԳԼԽԱՎՈՐ ՀԱՇՎԱՊԱՀ՝</t>
  </si>
  <si>
    <t>ՏԵՂԵԿԱՆՔ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</si>
  <si>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</si>
  <si>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</si>
  <si>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</si>
  <si>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Գործունեության բնույթը</t>
  </si>
  <si>
    <t>Վարձակալության ժամկետը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</si>
  <si>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</si>
  <si>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</si>
  <si>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</si>
  <si>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</si>
  <si>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&lt;&lt;Ուսում&gt;&gt; ՍՊԸ</t>
  </si>
  <si>
    <t xml:space="preserve">&lt;&lt;Համեղ պատառ&gt;&gt; ՍՊԸ       </t>
  </si>
  <si>
    <t>&lt;Արպեջիատո&gt; ՍՊԸ</t>
  </si>
  <si>
    <t>«ԿԻՈԿՈՒՇԻՆ-ԿԱՆ ԿԱՐԱՏԵ-ԴՈ ՀԱՄԱՀԱՅԿԱԿԱՆ ՖԵԴԵՐԱՑԻԱ» ՀԿ</t>
  </si>
  <si>
    <t>հանրակրթական ուսուցում</t>
  </si>
  <si>
    <t>բուֆետ</t>
  </si>
  <si>
    <t>մշակութային</t>
  </si>
  <si>
    <t>մարզական</t>
  </si>
  <si>
    <t>«Համեղ պատառ» ՍՊԸ</t>
  </si>
  <si>
    <t>Սուբսիդիա</t>
  </si>
  <si>
    <t>Օգնիր դպրոցիդ</t>
  </si>
  <si>
    <t>ԱՊՊԱ</t>
  </si>
  <si>
    <t>Պահակային պահպանություն</t>
  </si>
  <si>
    <t>ՀԾ-ի սպասարկում</t>
  </si>
  <si>
    <t>Հյուրասիրություն</t>
  </si>
  <si>
    <t>Ընթացիկ վերանորոգում</t>
  </si>
  <si>
    <t>Տնտեսական ապրանքներ</t>
  </si>
  <si>
    <t>Դիզվառելիք, յուղեր, այլ նյութեր</t>
  </si>
  <si>
    <t xml:space="preserve"> </t>
  </si>
  <si>
    <t xml:space="preserve"> 01,09,2018թ.-30,05,2019թ.</t>
  </si>
  <si>
    <t>01.11.2018թ.-01.11.2019.</t>
  </si>
  <si>
    <t xml:space="preserve">01.04.2019թ.-31.11.2019թ. </t>
  </si>
  <si>
    <t xml:space="preserve">«Երևանի Գայի (Հայկ Բժշկյանց)անվան թիվ 129 հիմնական դպրոց» ՊՈԱԿ-ի </t>
  </si>
  <si>
    <t>«01» «01» 2019թ. մինչև «01» «01» 2020թ.</t>
  </si>
  <si>
    <t>01.09.2018-01.09.2019</t>
  </si>
  <si>
    <t>01.10.2019-01.10.2020</t>
  </si>
  <si>
    <t xml:space="preserve"> 01,09,2019թ.-30,05,2020թ.</t>
  </si>
  <si>
    <t>կոմունալ վճարների վերաբերյալ</t>
  </si>
  <si>
    <t>h/h</t>
  </si>
  <si>
    <t>Ամիսներ</t>
  </si>
  <si>
    <t>Գազ</t>
  </si>
  <si>
    <t xml:space="preserve">Էլ.էներգիա  </t>
  </si>
  <si>
    <t xml:space="preserve">Ջուր </t>
  </si>
  <si>
    <t>2019թ.  (խոր/մետր)</t>
  </si>
  <si>
    <t>2019թ. գումարային (դրամ)</t>
  </si>
  <si>
    <t>2019թ.  (կվտ/ժամ)</t>
  </si>
  <si>
    <t>Դպրոցի փոխանցում (դրամ)</t>
  </si>
  <si>
    <t>Ջրի գծով սուբսիդիա (դրամ)</t>
  </si>
  <si>
    <t>հունվար</t>
  </si>
  <si>
    <t xml:space="preserve"> 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</si>
  <si>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</si>
  <si>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</si>
  <si>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</si>
  <si>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</si>
  <si>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</si>
  <si>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</si>
  <si>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</si>
  <si>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</si>
  <si>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 xml:space="preserve">նոյեմբեր </t>
  </si>
  <si>
    <t>դեկտեմբեր</t>
  </si>
  <si>
    <t>Ընդամենը</t>
  </si>
  <si>
    <t>Կոմունալ համավճարներ</t>
  </si>
  <si>
    <t>Կազմակերպության անվանումը</t>
  </si>
  <si>
    <t>%</t>
  </si>
  <si>
    <t>Ընդամենը կոմունալ համավճար</t>
  </si>
  <si>
    <t>«------------------------------» ՊՈԱԿ-ի ծախս</t>
  </si>
  <si>
    <t xml:space="preserve">Ամբողջը կոմունալ համավճար՝ </t>
  </si>
  <si>
    <t>* Ջրի նորմատիվը՝ աշակերտների միջին թիվ * 390.48 դրամ</t>
  </si>
  <si>
    <t>/ստորագրություն/</t>
  </si>
  <si>
    <t>/անուն, ազգանուն</t>
  </si>
  <si>
    <t>ավել</t>
  </si>
  <si>
    <t>10000 խմ =</t>
  </si>
  <si>
    <t>117 դրամ</t>
  </si>
  <si>
    <t>1 կվտ/ժամ    =</t>
  </si>
  <si>
    <t>44.98 դրամ</t>
  </si>
  <si>
    <t xml:space="preserve">      1 խմ =</t>
  </si>
  <si>
    <t>191.414 դրամ</t>
  </si>
  <si>
    <t xml:space="preserve">մինչև </t>
  </si>
  <si>
    <t>139 դրամ</t>
  </si>
  <si>
    <t>2020թ.  (կվտ/ժամ)</t>
  </si>
  <si>
    <t>2020թ. գումարային (դրամ)</t>
  </si>
  <si>
    <t>2020թ.  (խոր/մետր)</t>
  </si>
  <si>
    <t xml:space="preserve">Ð³í»Éí³Í </t>
  </si>
  <si>
    <t xml:space="preserve">Ð³ëï³ïí³Í ¿ </t>
  </si>
  <si>
    <t xml:space="preserve">ºñ¨³ÝÇ ù³Õ³ù³å»ïÇ </t>
  </si>
  <si>
    <t>§…...¦…………....2019Ã.</t>
  </si>
  <si>
    <t>Ñ……..…..² áñáßÙ³Ùµ</t>
  </si>
  <si>
    <t>Ð²êîÆø²ÚÆÜ òàôò²Î</t>
  </si>
  <si>
    <t xml:space="preserve">ºñ¨³ÝÇ ù³Õ³ù³å»ï³ñ³ÝÇ </t>
  </si>
  <si>
    <t>§Գայի ³Ýí³Ý Ñ.129 ÑÇÙÝ³Ï³Ý ¹åñáó¦ äà²Î</t>
  </si>
  <si>
    <t>Մեկ միավորի</t>
  </si>
  <si>
    <t xml:space="preserve">Ընդամենը </t>
  </si>
  <si>
    <t>Հ/Հ</t>
  </si>
  <si>
    <t>Հաստիքների անվանումը</t>
  </si>
  <si>
    <t xml:space="preserve">Միավորի </t>
  </si>
  <si>
    <t>ամսական</t>
  </si>
  <si>
    <t>Հավելում</t>
  </si>
  <si>
    <t>քանակը</t>
  </si>
  <si>
    <t>աշխատավարձը</t>
  </si>
  <si>
    <t>Վարչական անձնակազմ</t>
  </si>
  <si>
    <t>Տնօրեն</t>
  </si>
  <si>
    <t>Տնօրենի տեղակալ մասնագիտացված կրթական աջակցությունների գծով</t>
  </si>
  <si>
    <t>Տնօրենի տեղակալ ուսումնական աշխատանքի գծով</t>
  </si>
  <si>
    <t>Մանկավարժական հաստիքային անձնակազմ</t>
  </si>
  <si>
    <t>Սովորողների հետ դաստիարակչական աշխատանքների կազմակերպիչ</t>
  </si>
  <si>
    <t>Զինղեկ</t>
  </si>
  <si>
    <t>Հոգեբան</t>
  </si>
  <si>
    <t>Սոցիալական մանկավարժ</t>
  </si>
  <si>
    <t>Ուսուցիչներ</t>
  </si>
  <si>
    <t>Ուսուցչի օգնական</t>
  </si>
  <si>
    <t>Սպասարկող անձնակազմ</t>
  </si>
  <si>
    <t>Գլխավոր հաշվապահ</t>
  </si>
  <si>
    <t>Գրադարանավար</t>
  </si>
  <si>
    <t>Լաբորանտ</t>
  </si>
  <si>
    <t>Օպերատոր-տեխնիկ</t>
  </si>
  <si>
    <t>Քաղ. պաշտպանության շտաբի պետ</t>
  </si>
  <si>
    <t>Տնտեսության վարիչ</t>
  </si>
  <si>
    <t>Գործավար</t>
  </si>
  <si>
    <t xml:space="preserve">Ընթացիկ նորոգման բանվոր </t>
  </si>
  <si>
    <t>Հնոցապան</t>
  </si>
  <si>
    <t>Պահակ</t>
  </si>
  <si>
    <t>Հավաքարար</t>
  </si>
  <si>
    <t>ÀÝ¹³Ù»ÝÁ</t>
  </si>
  <si>
    <t xml:space="preserve">              ÊàðÐð¸Æ Ü²Ê²¶²Ð                              Է.ԱվետÛ³Ý</t>
  </si>
  <si>
    <t xml:space="preserve">             ¸äðàòÆ îÜúðºÜ                                   Լ. ä»ïñáëÛ³Ý</t>
  </si>
  <si>
    <t xml:space="preserve">              ¶ÈÊ²ìՈð Ð²Þì²ä²Ð                            Ս.Գևորգյան</t>
  </si>
  <si>
    <t>«Հ Ա Ս Տ Ա Տ ՈՒ Մ  Ե Մ»</t>
  </si>
  <si>
    <t>ԵՐԵՎԱՆԻ ՔԱՂԱՔԱՊԵՏԱՐԱՆԻ ԱՇԽԱՏԱԿԱԶՄԻ ՖԻՆԱՆՍԱԿԱՆ ՎԱՐՉՈՒԹՅԱՆ ՊԵՏ, ԳԼԽԱՎՈՐ ՖԻՆԱՆՍԻՍՏ</t>
  </si>
  <si>
    <t>      </t>
  </si>
  <si>
    <t>Վ.Ռ.ԱՐԵՎՇԱՏՅԱՆ</t>
  </si>
  <si>
    <t>(ստորագրություն)            (Ա.Հ.Ա)</t>
  </si>
  <si>
    <t>Ն Ա Խ Ա Հ Ա Շ Ի Վ</t>
  </si>
  <si>
    <t xml:space="preserve">ՊԵՏԱԿԱՆ ՈՉ ԱՌԵՎՏՐԱՅԻՆ ԿԱԶՄԱԿԵՐՊՈՒԹՅԱՆ 2019 ԹՎԱԿԱՆԻ ՖԻՆԱՆՍԱՏՆՏԵՍԱԿԱՆ ԳՈՐԾՈՒՆԵՈՒԹՅԱՆ </t>
  </si>
  <si>
    <r>
      <t xml:space="preserve">1. Կազմակերպության անվանումը՝
</t>
    </r>
    <r>
      <rPr>
        <b/>
        <sz val="12"/>
        <color theme="1"/>
        <rFont val="GHEA Grapalat"/>
        <family val="3"/>
      </rPr>
      <t xml:space="preserve">&lt;Երևանի Գայի (Հայկ Բժշկյանց)անվան թիվ 129 հիմնական դպրոց&gt; ՊՈԱԿ </t>
    </r>
  </si>
  <si>
    <r>
      <t xml:space="preserve">5. ՀՀ պետական կառավարման լիազորված մարմնի
 անվանումը՝ </t>
    </r>
    <r>
      <rPr>
        <b/>
        <sz val="12"/>
        <color rgb="FF000000"/>
        <rFont val="GHEA Grapalat"/>
        <family val="3"/>
      </rPr>
      <t>Երևանի քաղաքապետարան</t>
    </r>
    <r>
      <rPr>
        <sz val="12"/>
        <color rgb="FF000000"/>
        <rFont val="GHEA Grapalat"/>
        <family val="3"/>
      </rPr>
      <t> </t>
    </r>
  </si>
  <si>
    <r>
      <t xml:space="preserve">2. ՀՎՀՀ՝ </t>
    </r>
    <r>
      <rPr>
        <b/>
        <sz val="12"/>
        <color theme="1"/>
        <rFont val="GHEA Grapalat"/>
        <family val="3"/>
      </rPr>
      <t>00031465</t>
    </r>
  </si>
  <si>
    <r>
      <t xml:space="preserve">6. Բյուջետային ծախսերի գործառական
 դասակարգման ծածկագիր/բաժին, խումբ   </t>
    </r>
    <r>
      <rPr>
        <b/>
        <sz val="12"/>
        <color theme="1"/>
        <rFont val="GHEA Grapalat"/>
        <family val="3"/>
      </rPr>
      <t xml:space="preserve"> 09 01, 09 02</t>
    </r>
  </si>
  <si>
    <r>
      <t xml:space="preserve">3. Փոստային հասցեն՝
</t>
    </r>
    <r>
      <rPr>
        <b/>
        <sz val="12"/>
        <color theme="1"/>
        <rFont val="GHEA Grapalat"/>
        <family val="3"/>
      </rPr>
      <t>ք.Երևան, Հ. Քոչարի 29</t>
    </r>
  </si>
  <si>
    <r>
      <t>7. Չափի միավորը՝</t>
    </r>
    <r>
      <rPr>
        <b/>
        <sz val="12"/>
        <color theme="1"/>
        <rFont val="GHEA Grapalat"/>
        <family val="3"/>
      </rPr>
      <t xml:space="preserve"> 
հազար դրամ</t>
    </r>
  </si>
  <si>
    <r>
      <t xml:space="preserve">4. Կազմակերպության տեղաբաշխման 
մարզի կոդն ըստ բյուջետային ծախսերի տարածքային դասակարգման՝ </t>
    </r>
    <r>
      <rPr>
        <b/>
        <sz val="12"/>
        <color theme="1"/>
        <rFont val="GHEA Grapalat"/>
        <family val="3"/>
      </rPr>
      <t>106001</t>
    </r>
  </si>
  <si>
    <t>Տողերի NN</t>
  </si>
  <si>
    <t> Ֆինանսատնտեսական գործունեության դրամական միջոցների գոյացման աղբյուրների և դրանց հաշվին իրականացվող ելքերի
(ըստ բյուջետային ծախսերի տնտեսագիտական դասակարգման տարրերի)</t>
  </si>
  <si>
    <t>Առաջին եռամսյակ</t>
  </si>
  <si>
    <t>Առաջին կիսամյակ</t>
  </si>
  <si>
    <t>Ինն ամիս</t>
  </si>
  <si>
    <t>Տարեկան </t>
  </si>
  <si>
    <t>Նախահաշիվ</t>
  </si>
  <si>
    <t>նախահաշվում կատարված փոփոխությունները (ավելացումները դրական նշանով, պակասեցումները փակագծերում)</t>
  </si>
  <si>
    <t>Հաստատված (ճշտված) նախահաշիվ</t>
  </si>
  <si>
    <t>Անվանումները</t>
  </si>
  <si>
    <t>Տնտեսագիտական ծածկագիրը</t>
  </si>
  <si>
    <t>Ա</t>
  </si>
  <si>
    <t>Բ</t>
  </si>
  <si>
    <t>Գ</t>
  </si>
  <si>
    <r>
      <t xml:space="preserve">I. ԸՆԹԱՑԻԿ ԵԿԱՄՈՒՏՆԵՐ
(տող 2112000+տող 2113000)
</t>
    </r>
    <r>
      <rPr>
        <sz val="10"/>
        <color rgb="FF000000"/>
        <rFont val="GHEA Grapalat"/>
        <family val="3"/>
      </rPr>
      <t>այդ թվում՝</t>
    </r>
  </si>
  <si>
    <t>X</t>
  </si>
  <si>
    <r>
      <t xml:space="preserve">2. ՊԱՇՏՈՆԱԿԱՆ ԴՐԱՄԱՇՆՈՐՀՆԵՐ
</t>
    </r>
    <r>
      <rPr>
        <sz val="10"/>
        <color rgb="FF000000"/>
        <rFont val="GHEA Grapalat"/>
        <family val="3"/>
      </rPr>
      <t>որից`</t>
    </r>
  </si>
  <si>
    <t>2.1. Արտաքին պաշտոնական դրամաշնորհներ` ստացված այլ պետություններից</t>
  </si>
  <si>
    <t>x</t>
  </si>
  <si>
    <t>2.1.1. ընթացիկ արտաքին պաշտոնական դրամաշնորհներ` ստացված այլ պետություններից</t>
  </si>
  <si>
    <t>2.1.2. կապիտալ արտաքին պաշտոնական դրամաշնորհներ` ստացված այլ պետություններից</t>
  </si>
  <si>
    <t>2.2. Արտաքին պաշտոնական դրամաշնորհներ` ստացված միջազգային կազմակերպություններից</t>
  </si>
  <si>
    <t>2.2.1. ընթացիկ արտաքին պաշտոնական դրամաշնորհներ` ստացված միջազգային կազմակերպություններից</t>
  </si>
  <si>
    <t>2.2.2. կապիտալ արտաքին պաշտոնական դրամաշնորհներ` ստացված միջազգային կազմակերպություններից</t>
  </si>
  <si>
    <t>2.3. Ներքին պաշտոնական դրամաշնորհներ` ստացված կառավարման այլ մակարդակներից</t>
  </si>
  <si>
    <t xml:space="preserve">2.3.1. ընթացիկ ներքին պաշտոնական դրամաշնորհներ` ստացված կառավարման այլ մակարդակներից, այդ թվում՝ </t>
  </si>
  <si>
    <t xml:space="preserve">2.3.1.1. պետական բյուջեից,
այդ թվում՝ </t>
  </si>
  <si>
    <t>2.3.1.1.1. պետության կողմից պատվիրակված ծախսերի փոխհատուցում</t>
  </si>
  <si>
    <t>Տարակարգի դրամաշնորհ</t>
  </si>
  <si>
    <t>2.3.1.2. համայնքների բյուջեներից</t>
  </si>
  <si>
    <t>Ֆինանսական օգնություն համայնքից</t>
  </si>
  <si>
    <t>2.3.2. կապիտալ ներքին պաշտոնական դրամաշնորհներ` ստացված կառավարման այլ մակարդակներից,
այդ թվում՝</t>
  </si>
  <si>
    <t>2.3.2.1. պետական բյուջեից</t>
  </si>
  <si>
    <t>2.3.2.2 համայնքների բյուջեներից</t>
  </si>
  <si>
    <r>
      <t xml:space="preserve">3. ԱՅԼ ԵԿԱՄՈՒՏՆԵՐ
</t>
    </r>
    <r>
      <rPr>
        <sz val="10"/>
        <color rgb="FF000000"/>
        <rFont val="GHEA Grapalat"/>
        <family val="3"/>
      </rPr>
      <t>որից`</t>
    </r>
  </si>
  <si>
    <t>3.1. Եկամուտներ սեփականությունից</t>
  </si>
  <si>
    <t>3.1.3. գույքի վարձակալությունից եկամուտներ</t>
  </si>
  <si>
    <t>Վարձակալությունից եկամուտներ+կոմունալ համավճար</t>
  </si>
  <si>
    <t>3.2. եկամուտներ ապրանքների մատակարարումից և ծառայությունների մատուցումից</t>
  </si>
  <si>
    <t>Վճարովի ծառայություն+ուսումնական պրակտիկա+ակտիվների օտարում</t>
  </si>
  <si>
    <t>3.2.1. եկամուտներ ապրանքների մատակարարումից և ծառայությունների մատուցումից</t>
  </si>
  <si>
    <t>3.2.2. վարչական գանձումներ</t>
  </si>
  <si>
    <t>3.2.2.2. այլ վարչական գանձումներ</t>
  </si>
  <si>
    <t>3.3. Եկամուտներ տույժերից, տուգանքներից</t>
  </si>
  <si>
    <t>3.4. Այլ կատեգորիաներում չդասակարգված տրանսֆերտներ</t>
  </si>
  <si>
    <t>3.4.1. Այլ կատեգորիաներում չդասակարգված ընթացիկ տրանսֆերտներ</t>
  </si>
  <si>
    <t>3.4.1.1 Սուբսիդիաներ</t>
  </si>
  <si>
    <t>3.4.2. Այլ կատեգորիաներում չդասակարգված կապիտալ տրանսֆերտներ</t>
  </si>
  <si>
    <t>3.5. Պետական կազմակերպությունների այլ եկամուտներ</t>
  </si>
  <si>
    <r>
      <t xml:space="preserve">II. ԸՆԴԱՄԵՆԸ ԾԱԽՍԵՐ
(տող 1100000+ տող 4000000)
</t>
    </r>
    <r>
      <rPr>
        <sz val="10"/>
        <color rgb="FF000000"/>
        <rFont val="GHEA Grapalat"/>
        <family val="3"/>
      </rPr>
      <t>այդ թվում`</t>
    </r>
  </si>
  <si>
    <r>
      <t xml:space="preserve">Ա. ԸՆԹԱՑԻԿ ԾԱԽՍԵՐ
(տող 1110000+ տող 1120000 + տող 1140000+տող 1150000+տող 1160000+տող 1170000)
</t>
    </r>
    <r>
      <rPr>
        <sz val="10"/>
        <color rgb="FF000000"/>
        <rFont val="GHEA Grapalat"/>
        <family val="3"/>
      </rPr>
      <t>այդ թվում`</t>
    </r>
  </si>
  <si>
    <r>
      <t xml:space="preserve">1. ԱՇԽԱՏԱՆՔԻ ՎԱՐՁԱՏՐՈՒԹՅՈՒՆ
(տող 1111000+ տող 1112000+տող 1113000 +տող 1115000+տող 1116000)
</t>
    </r>
    <r>
      <rPr>
        <sz val="10"/>
        <color rgb="FF000000"/>
        <rFont val="GHEA Grapalat"/>
        <family val="3"/>
      </rPr>
      <t>այդ թվում`</t>
    </r>
  </si>
  <si>
    <t xml:space="preserve"> - Աշխատողների աշխատավարձեր և հավելավճարներ</t>
  </si>
  <si>
    <t> 411100</t>
  </si>
  <si>
    <t>Աշխատավարձեր և հավելավճարներ</t>
  </si>
  <si>
    <t xml:space="preserve"> - Պարգևատրումներ, դրամական խրախուսումներ և հատուկ վճարներ</t>
  </si>
  <si>
    <t> 411200</t>
  </si>
  <si>
    <t>Պարգևատրում</t>
  </si>
  <si>
    <t xml:space="preserve"> - Քաղաքացիական, դատական և պետական այլ ծառայողների պարգևատրում</t>
  </si>
  <si>
    <t xml:space="preserve"> - Այլ վարձատրություններ</t>
  </si>
  <si>
    <t xml:space="preserve"> - Բնեղեն աշխատավարձեր և հավելավճարներ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</si>
  <si>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10"/>
        <color rgb="FF000000"/>
        <rFont val="GHEA Grapalat"/>
        <family val="3"/>
      </rPr>
      <t>այդ թվում`</t>
    </r>
  </si>
  <si>
    <t>2.1. Շարունակական ծախսեր</t>
  </si>
  <si>
    <t xml:space="preserve"> - Գործառնական և բանկային ծառայությունների ծախսեր</t>
  </si>
  <si>
    <t>Բանկային ծառայություն</t>
  </si>
  <si>
    <r>
      <t xml:space="preserve"> - </t>
    </r>
    <r>
      <rPr>
        <sz val="10"/>
        <color rgb="FF000000"/>
        <rFont val="GHEA Grapalat"/>
        <family val="3"/>
      </rPr>
      <t>Էներգետիկ ծառայություններ</t>
    </r>
  </si>
  <si>
    <t>Էլ. Էներգիա և գազ</t>
  </si>
  <si>
    <t xml:space="preserve"> - Կոմունալ ծառայություններ</t>
  </si>
  <si>
    <t>Ջուր և դեռատիզացիա</t>
  </si>
  <si>
    <t xml:space="preserve"> - Կապի ծառայություններ</t>
  </si>
  <si>
    <t>Հեռախոս, ինտերնետ</t>
  </si>
  <si>
    <t xml:space="preserve"> - Ապահովագրական ծախսեր</t>
  </si>
  <si>
    <t xml:space="preserve"> - Գույքի և սարքավորումների վարձակալություն</t>
  </si>
  <si>
    <t>Գույքի և տեխնիկայի վարձակայություն դպրոցի կողմից</t>
  </si>
  <si>
    <t> - Արտագերատեսչական ծախսեր</t>
  </si>
  <si>
    <t>2.2. Ծառայողական գործուղումների գծով ծախսեր</t>
  </si>
  <si>
    <t xml:space="preserve"> - Ներքին գործուղումներ</t>
  </si>
  <si>
    <t xml:space="preserve"> - Արտասահմանյան գործուղումների գծով ծախսեր</t>
  </si>
  <si>
    <t xml:space="preserve"> - Այլ տրանսպորտային ծախսեր</t>
  </si>
  <si>
    <t>2.3. Պայմանագրային այլ ծառայությունների ձեռքբերում</t>
  </si>
  <si>
    <t xml:space="preserve"> - Վարչական ծառայություններ</t>
  </si>
  <si>
    <t>Պատճենահանում, թարգմանություն, գործավարություն</t>
  </si>
  <si>
    <t xml:space="preserve"> - Համակարգչային ծառայություններ</t>
  </si>
  <si>
    <t xml:space="preserve"> - Աշխատակազմի մասնագիտական զարգացման ծառայություններ</t>
  </si>
  <si>
    <t>Վերապատրաստում, սեմինար</t>
  </si>
  <si>
    <t xml:space="preserve"> - Տեղեկատվական ծառայություններ</t>
  </si>
  <si>
    <t>Թերթերի բաժանորդագրություն և հայտարարություններ</t>
  </si>
  <si>
    <t xml:space="preserve"> - Կառավարչական ծառայություններ</t>
  </si>
  <si>
    <t>Աուդիտորական, իրավաբանական, փորձագիտական ծառայություններ</t>
  </si>
  <si>
    <t xml:space="preserve"> - Կենցաղային և հանրային սննդի ծառայություններ</t>
  </si>
  <si>
    <t>Լվացքատների ծառայություններ, քիմմաքրում, սննդի ծառայություններ</t>
  </si>
  <si>
    <t xml:space="preserve"> - Ներկայացուցչական ծախսեր</t>
  </si>
  <si>
    <t xml:space="preserve"> - Ընդհանուր բնույթի այլ ծառայություններ</t>
  </si>
  <si>
    <t>Կենտրոնական ազդարարման համակարգի և ջեռուցման համակարգի տեղադրում, դպրոցական երեխաների փոխադրման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</si>
  <si>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</si>
  <si>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</si>
  <si>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Գնումների համակարգող,  
ջեռ.համակարգի սպասարկում, կաթսայատան հետ կապված 
մասնագիտական ծառայություններ,գույքի գնահատման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</si>
  <si>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</si>
  <si>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</si>
  <si>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</si>
  <si>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Քարթրիջի լիցքավորում, տեխնիկայի ընթացիկ վերանորոգում և սպասարկում</t>
  </si>
  <si>
    <t>2.6. Նյութեր (ապրանքներ)</t>
  </si>
  <si>
    <t xml:space="preserve"> - Գրասենյակային նյութեր և հագուստ</t>
  </si>
  <si>
    <t>Գրասենյակային ապրանքներ, ձևաթղթեր (Վիամիր)</t>
  </si>
  <si>
    <t xml:space="preserve"> - Գյուղատնտեսական ապրանքներ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</si>
  <si>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</si>
  <si>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</si>
  <si>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</si>
  <si>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Շրջակա միջավայրի պաշտպանության և գիտական նյութեր</t>
  </si>
  <si>
    <t xml:space="preserve"> - Առողջապահական և լաբորատոր նյութեր</t>
  </si>
  <si>
    <t xml:space="preserve"> - Կենցաղային և հանրային սննդի նյութեր</t>
  </si>
  <si>
    <t xml:space="preserve"> - Հատուկ նպատակային այլ նյութեր</t>
  </si>
  <si>
    <t>Շինանյութ, փոքրարժեք և արագամաշ առարկաներ</t>
  </si>
  <si>
    <r>
      <t xml:space="preserve">4. ՍՈՒԲՍԻԴԻԱՆԵՐ
</t>
    </r>
    <r>
      <rPr>
        <i/>
        <sz val="10"/>
        <color rgb="FF000000"/>
        <rFont val="GHEA Grapalat"/>
        <family val="3"/>
      </rPr>
      <t>այդ թվում`</t>
    </r>
  </si>
  <si>
    <t xml:space="preserve"> - Սուբսիդիաներ ոչ ֆինանսական պետական կազմակերպություններին</t>
  </si>
  <si>
    <t xml:space="preserve"> - Սուբսիդիաներ ֆինանսական պետական կազմակերպություններին</t>
  </si>
  <si>
    <t xml:space="preserve"> - Սուբսիդիաներ ոչ պետական ոչ ֆինանսական կազմակերպություններին</t>
  </si>
  <si>
    <t xml:space="preserve"> - Սուբսիդիաներ ոչ պետական ֆինանսական կազմակերպություններին</t>
  </si>
  <si>
    <r>
      <t xml:space="preserve">5. ԴՐԱՄԱՇՆՈՐՀՆԵՐ
</t>
    </r>
    <r>
      <rPr>
        <sz val="10"/>
        <color rgb="FF000000"/>
        <rFont val="GHEA Grapalat"/>
        <family val="3"/>
      </rPr>
      <t>այդ թվում՝</t>
    </r>
  </si>
  <si>
    <t>Ընթացիկ դրամաշնորհներ պետական հատվածի այլ մակարդակներին</t>
  </si>
  <si>
    <t xml:space="preserve"> - Այլ ընթացիկ դրամաշնորհներ համայնքներին</t>
  </si>
  <si>
    <t xml:space="preserve"> - Ընթացիկ դրամաշնորհներ պետական և համայնքային ոչ առևտրային կազմակերպություններին</t>
  </si>
  <si>
    <t xml:space="preserve"> -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</si>
  <si>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</si>
  <si>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</si>
  <si>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>- Այլ կապիտալ դրամաշնորհներ համայնքներին</t>
  </si>
  <si>
    <t xml:space="preserve"> - Կապիտալ դրամաշնորհներ պետական և համայնքային ոչ առևտրային կազմակերպություններին</t>
  </si>
  <si>
    <t>- Կապիտալ դրամաշնորհներ պետական և համայնքային առևտրային կազմակերպություններին</t>
  </si>
  <si>
    <t>-Այլ կապիտալ դրամաշնորհներ</t>
  </si>
  <si>
    <r>
      <t xml:space="preserve">6. ՍՈՑԻԱԼԱԿԱՆ ՆՊԱՍՏՆԵՐ
</t>
    </r>
    <r>
      <rPr>
        <sz val="10"/>
        <color rgb="FF000000"/>
        <rFont val="GHEA Grapalat"/>
        <family val="3"/>
      </rPr>
      <t>այդ թվում`</t>
    </r>
  </si>
  <si>
    <t>6.1. 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</si>
  <si>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</si>
  <si>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</si>
  <si>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>6.2. Սոցիալական օգնության դրամական արտահայտությամբ նպաստներ (բյուջեից)</t>
  </si>
  <si>
    <r>
      <t> - </t>
    </r>
    <r>
      <rPr>
        <sz val="10"/>
        <color rgb="FF000000"/>
        <rFont val="GHEA Grapalat"/>
        <family val="3"/>
      </rPr>
      <t>Հիվանդության և հաշմանդամության նպաստներ բյուջեից</t>
    </r>
  </si>
  <si>
    <r>
      <t> - </t>
    </r>
    <r>
      <rPr>
        <sz val="10"/>
        <color rgb="FF000000"/>
        <rFont val="GHEA Grapalat"/>
        <family val="3"/>
      </rPr>
      <t>Մայրության նպաստներ բյուջեից</t>
    </r>
  </si>
  <si>
    <r>
      <t> - </t>
    </r>
    <r>
      <rPr>
        <sz val="10"/>
        <color rgb="FF000000"/>
        <rFont val="GHEA Grapalat"/>
        <family val="3"/>
      </rPr>
      <t>Երեխաների կամ ընտանեկան նպաստներ բյուջեից</t>
    </r>
  </si>
  <si>
    <r>
      <t> - </t>
    </r>
    <r>
      <rPr>
        <sz val="10"/>
        <color rgb="FF000000"/>
        <rFont val="GHEA Grapalat"/>
        <family val="3"/>
      </rPr>
      <t>Գործազրկության նպաստներ բյուջեից</t>
    </r>
  </si>
  <si>
    <r>
      <t> - </t>
    </r>
    <r>
      <rPr>
        <sz val="10"/>
        <color rgb="FF000000"/>
        <rFont val="GHEA Grapalat"/>
        <family val="3"/>
      </rPr>
      <t>Կենսաթոշակի անցնելու հետ կապված և տարիքային նպաստներ բյուջեից</t>
    </r>
  </si>
  <si>
    <r>
      <t> - </t>
    </r>
    <r>
      <rPr>
        <sz val="10"/>
        <color rgb="FF000000"/>
        <rFont val="GHEA Grapalat"/>
        <family val="3"/>
      </rPr>
      <t>Հուղարկավորության նպաստներ բյուջեից</t>
    </r>
  </si>
  <si>
    <r>
      <t> - </t>
    </r>
    <r>
      <rPr>
        <sz val="10"/>
        <color rgb="FF000000"/>
        <rFont val="GHEA Grapalat"/>
        <family val="3"/>
      </rPr>
      <t>Կրթական, մշակութային և սպորտային նպաստներ բյուջեից</t>
    </r>
  </si>
  <si>
    <t>Լրացվելու է տարեվերջին, ճշտել/սոցիալապես անապահով 
երեխաների դասագրքերի 
փոխհատուցման գումար</t>
  </si>
  <si>
    <r>
      <t> - </t>
    </r>
    <r>
      <rPr>
        <sz val="10"/>
        <color rgb="FF000000"/>
        <rFont val="GHEA Grapalat"/>
        <family val="3"/>
      </rPr>
      <t>Բնակարանային նպաստներ բյուջեից</t>
    </r>
  </si>
  <si>
    <r>
      <t> - </t>
    </r>
    <r>
      <rPr>
        <sz val="10"/>
        <color rgb="FF000000"/>
        <rFont val="GHEA Grapalat"/>
        <family val="3"/>
      </rPr>
      <t>Այլ նպաստներ բյուջեից</t>
    </r>
  </si>
  <si>
    <r>
      <t xml:space="preserve">7. ԱՅԼ ԾԱԽՍԵՐ
</t>
    </r>
    <r>
      <rPr>
        <sz val="10"/>
        <color rgb="FF000000"/>
        <rFont val="GHEA Grapalat"/>
        <family val="3"/>
      </rPr>
      <t>այդ թվում`</t>
    </r>
  </si>
  <si>
    <t>7.1. Նվիրատվություններ ոչ կառավարչական (հասարակական) կազմակերպություններին</t>
  </si>
  <si>
    <r>
      <t> - </t>
    </r>
    <r>
      <rPr>
        <sz val="10"/>
        <color rgb="FF000000"/>
        <rFont val="GHEA Grapalat"/>
        <family val="3"/>
      </rPr>
      <t>Տնային տնտեսություններին ծառայություններ մատուցող` շահույթ չհետապնդող կազմակերպություններին նվիրատվություններ</t>
    </r>
  </si>
  <si>
    <r>
      <t> - </t>
    </r>
    <r>
      <rPr>
        <sz val="10"/>
        <color rgb="FF000000"/>
        <rFont val="GHEA Grapalat"/>
        <family val="3"/>
      </rPr>
      <t>Նվիրատվություններ այլ շահույթ չհետապնդող կազմակերպություններին</t>
    </r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</si>
  <si>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</si>
  <si>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Աշխատավարձի ֆոնդ</t>
  </si>
  <si>
    <t xml:space="preserve"> - Այլ հարկեր</t>
  </si>
  <si>
    <t>ԱԱՀ և Շահութահարկ</t>
  </si>
  <si>
    <r>
      <t> - </t>
    </r>
    <r>
      <rPr>
        <sz val="10"/>
        <color rgb="FF000000"/>
        <rFont val="GHEA Grapalat"/>
        <family val="3"/>
      </rPr>
      <t>Պարտադիր վճարներ</t>
    </r>
  </si>
  <si>
    <t>Լիցենզիա, ռեգիստր, կադաստր, Աղբահանություն և Էլ ստորագրություն</t>
  </si>
  <si>
    <r>
      <t> - </t>
    </r>
    <r>
      <rPr>
        <sz val="10"/>
        <color rgb="FF000000"/>
        <rFont val="GHEA Grapalat"/>
        <family val="3"/>
      </rPr>
      <t>Պետական հատվածի տարբեր մակարդակների կողմից միմյանց նկատմամբ կիրառվող տույժեր</t>
    </r>
  </si>
  <si>
    <t>7.3. Դատարանների կողմից նշանակված տույժեր և տուգանքներ</t>
  </si>
  <si>
    <t xml:space="preserve"> - Դատարանների կողմից նշանակված տույժեր և տուգանքներ</t>
  </si>
  <si>
    <t>7.4. Բնական աղետներից կամ այլ բնական պատճառներով առաջացած վնասների կամ վնասվածքների վերականգնում</t>
  </si>
  <si>
    <t xml:space="preserve"> - Բնական աղետներից առաջացած վնասվածքների կամ վնասների վերականգնում</t>
  </si>
  <si>
    <t xml:space="preserve"> - Այլ բնական պատճառներով ստացած վնասվածքների վերականգնում</t>
  </si>
  <si>
    <t>7.5. Կառավարման մարմինների գործունեության հետևանքով առաջացած վնասների կամ վնասվածքների վերականգնում</t>
  </si>
  <si>
    <r>
      <t> - </t>
    </r>
    <r>
      <rPr>
        <sz val="10"/>
        <color rgb="FF000000"/>
        <rFont val="GHEA Grapalat"/>
        <family val="3"/>
      </rPr>
      <t>Կառավարման մարմինների գործունեության հետևանքով առաջացած վնասվածքների կամ վնասների վերականգնում</t>
    </r>
  </si>
  <si>
    <t>7.6. Այլ ծախսեր</t>
  </si>
  <si>
    <r>
      <t> - </t>
    </r>
    <r>
      <rPr>
        <sz val="10"/>
        <color rgb="FF000000"/>
        <rFont val="GHEA Grapalat"/>
        <family val="3"/>
      </rPr>
      <t>Այլ ծախսեր</t>
    </r>
  </si>
  <si>
    <t>7.7. Պահուստային միջոցներ</t>
  </si>
  <si>
    <r>
      <t> - </t>
    </r>
    <r>
      <rPr>
        <sz val="10"/>
        <color rgb="FF000000"/>
        <rFont val="GHEA Grapalat"/>
        <family val="3"/>
      </rPr>
      <t>Պահուստային միջոցներ</t>
    </r>
  </si>
  <si>
    <r>
      <t xml:space="preserve">Բ. ՈՉ ՖԻՆԱՆՍԱԿԱՆ ԱԿՏԻՎՆԵՐ
(տող 1200000 + 1300000)
</t>
    </r>
    <r>
      <rPr>
        <sz val="10"/>
        <color rgb="FF000000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</si>
  <si>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10"/>
        <color rgb="FF000000"/>
        <rFont val="GHEA Grapalat"/>
        <family val="3"/>
      </rPr>
      <t>այդ թվում`</t>
    </r>
  </si>
  <si>
    <r>
      <t xml:space="preserve">1. ՀԻՄՆԱԿԱՆ ՄԻՋՈՑՆԵՐ
</t>
    </r>
    <r>
      <rPr>
        <sz val="10"/>
        <color rgb="FF000000"/>
        <rFont val="GHEA Grapalat"/>
        <family val="3"/>
      </rPr>
      <t>որից`</t>
    </r>
  </si>
  <si>
    <r>
      <t> - </t>
    </r>
    <r>
      <rPr>
        <sz val="10"/>
        <color rgb="FF000000"/>
        <rFont val="GHEA Grapalat"/>
        <family val="3"/>
      </rPr>
      <t>Շենքերի և շինությունների ձեռքբերում</t>
    </r>
  </si>
  <si>
    <t xml:space="preserve"> - Շենքերի և շինությունների կառուցում</t>
  </si>
  <si>
    <r>
      <t> - </t>
    </r>
    <r>
      <rPr>
        <sz val="10"/>
        <color rgb="FF000000"/>
        <rFont val="GHEA Grapalat"/>
        <family val="3"/>
      </rPr>
      <t>Շենքերի և շինությունների կապիտալ վերանորոգում</t>
    </r>
  </si>
  <si>
    <t>Կապիտալ վերանորոգում</t>
  </si>
  <si>
    <r>
      <t> - </t>
    </r>
    <r>
      <rPr>
        <sz val="10"/>
        <color rgb="FF000000"/>
        <rFont val="GHEA Grapalat"/>
        <family val="3"/>
      </rPr>
      <t>Տրանսպորտային սարքավորումներ</t>
    </r>
  </si>
  <si>
    <t xml:space="preserve"> - Վարչական սարքավորումներ</t>
  </si>
  <si>
    <t>Գրասենյակային և աշակերտական գույք, համակարգչային տեխնիկա (հիմնական գույք)</t>
  </si>
  <si>
    <r>
      <t> - </t>
    </r>
    <r>
      <rPr>
        <sz val="10"/>
        <color rgb="FF000000"/>
        <rFont val="GHEA Grapalat"/>
        <family val="3"/>
      </rPr>
      <t>Այլ մեքենաներ և սարքավորումներ</t>
    </r>
  </si>
  <si>
    <t>Հատուկ նշանակության սարքավորումներ (երաժշտական գործիքներ, արտադրական սարքավորումներ, վերելակներ և այլն)</t>
  </si>
  <si>
    <r>
      <t> - </t>
    </r>
    <r>
      <rPr>
        <sz val="10"/>
        <color rgb="FF000000"/>
        <rFont val="GHEA Grapalat"/>
        <family val="3"/>
      </rPr>
      <t>Աճեցվող ակտիվներ</t>
    </r>
  </si>
  <si>
    <r>
      <t> - </t>
    </r>
    <r>
      <rPr>
        <sz val="10"/>
        <color rgb="FF000000"/>
        <rFont val="GHEA Grapalat"/>
        <family val="3"/>
      </rPr>
      <t>Ոչ նյութական հիմնական միջոցներ</t>
    </r>
  </si>
  <si>
    <t>Համակարգչային ծրագրեր, գրականություն, քանդակներ, նկարներ, լիցենզիաներ և այլն</t>
  </si>
  <si>
    <t xml:space="preserve"> - Գեոդեզիական քարտեզագրական ծախսեր</t>
  </si>
  <si>
    <t>- Նախագծահետազոտական ծախսեր</t>
  </si>
  <si>
    <t>Նախագծման ծառայություններ</t>
  </si>
  <si>
    <r>
      <t xml:space="preserve">2. ՊԱՇԱՐՆԵՐ
</t>
    </r>
    <r>
      <rPr>
        <sz val="10"/>
        <color rgb="FF000000"/>
        <rFont val="GHEA Grapalat"/>
        <family val="3"/>
      </rPr>
      <t>որից`</t>
    </r>
  </si>
  <si>
    <t xml:space="preserve"> - Ռազմավարական պաշարներ</t>
  </si>
  <si>
    <t xml:space="preserve"> - Նյութեր և պարագաներ</t>
  </si>
  <si>
    <r>
      <t> - </t>
    </r>
    <r>
      <rPr>
        <sz val="10"/>
        <color rgb="FF000000"/>
        <rFont val="GHEA Grapalat"/>
        <family val="3"/>
      </rPr>
      <t>Վերավաճառքի համար նախատեսված ապրանքներ</t>
    </r>
  </si>
  <si>
    <r>
      <t> - </t>
    </r>
    <r>
      <rPr>
        <sz val="10"/>
        <color rgb="FF000000"/>
        <rFont val="GHEA Grapalat"/>
        <family val="3"/>
      </rPr>
      <t>Սպառման նպատակով պահվող պաշարներ</t>
    </r>
  </si>
  <si>
    <r>
      <t xml:space="preserve">3. ԲԱՐՁՐԱՐԺԵՔ ԱԿՏԻՎՆԵՐ
</t>
    </r>
    <r>
      <rPr>
        <sz val="10"/>
        <color rgb="FF000000"/>
        <rFont val="GHEA Grapalat"/>
        <family val="3"/>
      </rPr>
      <t>որից`</t>
    </r>
  </si>
  <si>
    <t xml:space="preserve"> - Բարձրարժեք ակտիվներ</t>
  </si>
  <si>
    <r>
      <t xml:space="preserve">4. ՉԱՐՏԱԴՐՎԱԾ ԱԿՏԻՎՆԵՐ
</t>
    </r>
    <r>
      <rPr>
        <sz val="10"/>
        <color rgb="FF000000"/>
        <rFont val="GHEA Grapalat"/>
        <family val="3"/>
      </rPr>
      <t>որից`</t>
    </r>
  </si>
  <si>
    <t xml:space="preserve"> - Հող</t>
  </si>
  <si>
    <t xml:space="preserve"> - Ընդերքային ակտիվներ</t>
  </si>
  <si>
    <r>
      <t> - </t>
    </r>
    <r>
      <rPr>
        <sz val="10"/>
        <color rgb="FF000000"/>
        <rFont val="GHEA Grapalat"/>
        <family val="3"/>
      </rPr>
      <t>Այլ բնական ծագում ունեցող ակտիվներ</t>
    </r>
  </si>
  <si>
    <r>
      <t> - </t>
    </r>
    <r>
      <rPr>
        <sz val="10"/>
        <color rgb="FF000000"/>
        <rFont val="GHEA Grapalat"/>
        <family val="3"/>
      </rPr>
      <t>Ոչ նյութական չարտադրված ակտիվներ</t>
    </r>
  </si>
  <si>
    <r>
      <t xml:space="preserve">ԲԲ. ՈՉ ՖԻՆԱՆՍԱԿԱՆ ԱԿՏԻՎՆԵՐԻ ԻՐԱՑՈՒՄԻՑ ՄՈՒՏՔԵՐ                                        </t>
    </r>
    <r>
      <rPr>
        <sz val="10"/>
        <color rgb="FF000000"/>
        <rFont val="GHEA Grapalat"/>
        <family val="3"/>
      </rPr>
      <t>որից`</t>
    </r>
  </si>
  <si>
    <t> Հիմնական միջոցների իրացումից մուտքեր</t>
  </si>
  <si>
    <t> Պաշարների իրացումից մուտքեր</t>
  </si>
  <si>
    <t> Բարձրարժեք ակտիվների իրացումից մուտքեր</t>
  </si>
  <si>
    <t> Ոչ արտադրական ակտիվների իրացումից մուտքեր</t>
  </si>
  <si>
    <t>III. ԸՆԴԱՄԵՆԸ ԴՐԱՄԱԿԱՆ ՄԻՋՈՑՆԵՐԻ ԴԵՖԻՑԻՏ (ՀԱՎԵԼՈՒՐԴ)
(տող 1000000 - տող 2000000)</t>
  </si>
  <si>
    <t>IV. ԴԵՖԻՑԻՏԻ ՖԻՆԱՆՍԱՎՈՐՄԱՆ ԱՂԲՅՈՒՐՆԵՐԸ</t>
  </si>
  <si>
    <t>2.4. Կազմակերպության ելքերի ֆինանսավորմանն ուղղվող տարեսկզբի միջոցներ</t>
  </si>
  <si>
    <t>Տարեսկզբի մնացորդ</t>
  </si>
  <si>
    <r>
      <t xml:space="preserve">2.5. Կազմակերպության հաշվից (ազատ մնացորդ) համապատասխան բյուջե փոխանցվող միջոցներ,
</t>
    </r>
    <r>
      <rPr>
        <i/>
        <sz val="10"/>
        <color rgb="FF000000"/>
        <rFont val="GHEA Grapalat"/>
        <family val="3"/>
      </rPr>
      <t>այդ թվում՝</t>
    </r>
  </si>
  <si>
    <t>2.5.1. պետական բյուջե</t>
  </si>
  <si>
    <t>2.5.2. համայնքների բյուջեներ</t>
  </si>
  <si>
    <t>2.6. Հաշվետու ժամանակաշրջանում կազմակերպության հաշվի ազատ միջոցներ</t>
  </si>
  <si>
    <r>
      <t>«</t>
    </r>
    <r>
      <rPr>
        <u/>
        <sz val="12"/>
        <color theme="1"/>
        <rFont val="GHEA Grapalat"/>
        <family val="3"/>
      </rPr>
      <t xml:space="preserve">     </t>
    </r>
    <r>
      <rPr>
        <sz val="12"/>
        <color theme="1"/>
        <rFont val="GHEA Grapalat"/>
        <family val="3"/>
      </rPr>
      <t>» «</t>
    </r>
    <r>
      <rPr>
        <u/>
        <sz val="12"/>
        <color theme="1"/>
        <rFont val="GHEA Grapalat"/>
        <family val="3"/>
      </rPr>
      <t xml:space="preserve">                    </t>
    </r>
    <r>
      <rPr>
        <sz val="12"/>
        <color theme="1"/>
        <rFont val="GHEA Grapalat"/>
        <family val="3"/>
      </rPr>
      <t>» 20</t>
    </r>
    <r>
      <rPr>
        <u/>
        <sz val="12"/>
        <color theme="1"/>
        <rFont val="GHEA Grapalat"/>
        <family val="3"/>
      </rPr>
      <t xml:space="preserve">    </t>
    </r>
    <r>
      <rPr>
        <sz val="12"/>
        <color theme="1"/>
        <rFont val="GHEA Grapalat"/>
        <family val="3"/>
      </rPr>
      <t xml:space="preserve"> թ․</t>
    </r>
  </si>
  <si>
    <t xml:space="preserve">Կազմակերպության տնօրեն </t>
  </si>
  <si>
    <t>(ստորագրություն)</t>
  </si>
  <si>
    <t>Կ.Տ.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</si>
</sst>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#,##0.0_);\(#,##0.0\)"/>
  </numFmts>
  <fonts count="63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sz val="14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MS Sans Serif"/>
      <family val="2"/>
    </font>
    <font>
      <sz val="10"/>
      <name val="Arial"/>
      <charset val="204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sz val="10"/>
      <name val="Arial Armenian"/>
      <family val="2"/>
    </font>
    <font>
      <b/>
      <sz val="11"/>
      <name val="Arial Armenian"/>
      <family val="2"/>
    </font>
    <font>
      <b/>
      <sz val="10"/>
      <name val="Arial Armenian"/>
      <family val="2"/>
    </font>
    <font>
      <b/>
      <sz val="12"/>
      <color rgb="FF000000"/>
      <name val="GHEA Grapalat"/>
      <family val="3"/>
    </font>
    <font>
      <sz val="14"/>
      <color theme="1"/>
      <name val="GHEA Grapalat"/>
      <family val="3"/>
    </font>
    <font>
      <b/>
      <sz val="14"/>
      <color rgb="FF000000"/>
      <name val="GHEA Grapalat"/>
      <family val="3"/>
    </font>
    <font>
      <sz val="14"/>
      <color rgb="FF000000"/>
      <name val="GHEA Grapalat"/>
      <family val="3"/>
    </font>
    <font>
      <b/>
      <i/>
      <sz val="14"/>
      <color rgb="FF000000"/>
      <name val="GHEA Grapalat"/>
      <family val="3"/>
    </font>
    <font>
      <sz val="12"/>
      <color rgb="FF000000"/>
      <name val="GHEA Grapalat"/>
      <family val="3"/>
    </font>
    <font>
      <sz val="10"/>
      <color rgb="FF000000"/>
      <name val="GHEA Grapalat"/>
      <family val="3"/>
    </font>
    <font>
      <sz val="8"/>
      <color rgb="FF000000"/>
      <name val="GHEA Grapalat"/>
      <family val="3"/>
    </font>
    <font>
      <b/>
      <sz val="10"/>
      <color rgb="FF000000"/>
      <name val="GHEA Grapalat"/>
      <family val="3"/>
    </font>
    <font>
      <i/>
      <sz val="10"/>
      <color rgb="FF000000"/>
      <name val="GHEA Grapalat"/>
      <family val="3"/>
    </font>
    <font>
      <i/>
      <sz val="10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u/>
      <sz val="12"/>
      <color theme="1"/>
      <name val="GHEA Grapalat"/>
      <family val="3"/>
    </font>
    <font>
      <b/>
      <i/>
      <sz val="12"/>
      <color rgb="FF000000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7" borderId="7" applyNumberFormat="0" applyAlignment="0" applyProtection="0"/>
    <xf numFmtId="0" fontId="10" fillId="20" borderId="8" applyNumberFormat="0" applyAlignment="0" applyProtection="0"/>
    <xf numFmtId="0" fontId="11" fillId="20" borderId="7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21" borderId="13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14" applyNumberFormat="0" applyFont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0" fontId="34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</cellStyleXfs>
  <cellXfs count="288">
    <xf numFmtId="0" fontId="0" fillId="0" borderId="0" xfId="0"/>
    <xf numFmtId="0" fontId="3" fillId="24" borderId="0" xfId="48" applyFont="1" applyFill="1" applyAlignment="1">
      <alignment vertical="center" wrapText="1"/>
    </xf>
    <xf numFmtId="0" fontId="3" fillId="24" borderId="0" xfId="48" applyFont="1" applyFill="1" applyAlignment="1">
      <alignment horizontal="center" vertical="center" wrapText="1"/>
    </xf>
    <xf numFmtId="0" fontId="25" fillId="24" borderId="2" xfId="48" applyFont="1" applyFill="1" applyBorder="1" applyAlignment="1">
      <alignment horizontal="center" vertical="center" wrapText="1"/>
    </xf>
    <xf numFmtId="0" fontId="28" fillId="24" borderId="2" xfId="48" applyFont="1" applyFill="1" applyBorder="1" applyAlignment="1">
      <alignment horizontal="center" vertical="center" wrapText="1"/>
    </xf>
    <xf numFmtId="0" fontId="25" fillId="24" borderId="0" xfId="48" applyFont="1" applyFill="1" applyAlignment="1">
      <alignment horizontal="center" vertical="center" wrapText="1"/>
    </xf>
    <xf numFmtId="0" fontId="3" fillId="24" borderId="2" xfId="48" applyFont="1" applyFill="1" applyBorder="1" applyAlignment="1">
      <alignment horizontal="center" vertical="center" wrapText="1"/>
    </xf>
    <xf numFmtId="0" fontId="32" fillId="24" borderId="2" xfId="0" applyFont="1" applyFill="1" applyBorder="1" applyAlignment="1">
      <alignment vertical="center" wrapText="1"/>
    </xf>
    <xf numFmtId="164" fontId="32" fillId="24" borderId="2" xfId="0" applyNumberFormat="1" applyFont="1" applyFill="1" applyBorder="1" applyAlignment="1">
      <alignment horizontal="center" vertical="center"/>
    </xf>
    <xf numFmtId="0" fontId="3" fillId="24" borderId="2" xfId="48" applyFont="1" applyFill="1" applyBorder="1" applyAlignment="1">
      <alignment vertical="center" wrapText="1"/>
    </xf>
    <xf numFmtId="164" fontId="32" fillId="24" borderId="2" xfId="0" applyNumberFormat="1" applyFont="1" applyFill="1" applyBorder="1" applyAlignment="1">
      <alignment horizontal="center" vertical="center" wrapText="1"/>
    </xf>
    <xf numFmtId="164" fontId="3" fillId="24" borderId="2" xfId="48" applyNumberFormat="1" applyFont="1" applyFill="1" applyBorder="1" applyAlignment="1">
      <alignment horizontal="center" vertical="center" wrapText="1"/>
    </xf>
    <xf numFmtId="1" fontId="3" fillId="24" borderId="2" xfId="48" applyNumberFormat="1" applyFont="1" applyFill="1" applyBorder="1" applyAlignment="1">
      <alignment horizontal="center" vertical="center" wrapText="1"/>
    </xf>
    <xf numFmtId="0" fontId="31" fillId="24" borderId="18" xfId="48" applyFont="1" applyFill="1" applyBorder="1" applyAlignment="1">
      <alignment vertical="center" wrapText="1"/>
    </xf>
    <xf numFmtId="0" fontId="31" fillId="24" borderId="0" xfId="48" applyFont="1" applyFill="1" applyAlignment="1">
      <alignment vertical="center" wrapText="1"/>
    </xf>
    <xf numFmtId="0" fontId="31" fillId="24" borderId="0" xfId="48" applyFont="1" applyFill="1" applyBorder="1" applyAlignment="1">
      <alignment horizontal="center" vertical="center" wrapText="1"/>
    </xf>
    <xf numFmtId="0" fontId="1" fillId="24" borderId="2" xfId="0" applyFont="1" applyFill="1" applyBorder="1" applyAlignment="1">
      <alignment vertical="center" wrapText="1"/>
    </xf>
    <xf numFmtId="164" fontId="1" fillId="24" borderId="2" xfId="0" applyNumberFormat="1" applyFont="1" applyFill="1" applyBorder="1" applyAlignment="1">
      <alignment horizontal="center" vertical="center"/>
    </xf>
    <xf numFmtId="164" fontId="1" fillId="24" borderId="2" xfId="0" applyNumberFormat="1" applyFont="1" applyFill="1" applyBorder="1" applyAlignment="1">
      <alignment horizontal="center" vertical="center" wrapText="1"/>
    </xf>
    <xf numFmtId="164" fontId="24" fillId="24" borderId="2" xfId="48" applyNumberFormat="1" applyFont="1" applyFill="1" applyBorder="1" applyAlignment="1">
      <alignment horizontal="center" vertical="center" wrapText="1"/>
    </xf>
    <xf numFmtId="1" fontId="1" fillId="24" borderId="2" xfId="0" applyNumberFormat="1" applyFont="1" applyFill="1" applyBorder="1" applyAlignment="1">
      <alignment horizontal="center" vertical="center" wrapText="1"/>
    </xf>
    <xf numFmtId="164" fontId="3" fillId="24" borderId="0" xfId="48" applyNumberFormat="1" applyFont="1" applyFill="1" applyAlignment="1">
      <alignment vertical="center" wrapText="1"/>
    </xf>
    <xf numFmtId="0" fontId="3" fillId="24" borderId="0" xfId="48" applyFont="1" applyFill="1" applyBorder="1" applyAlignment="1">
      <alignment vertical="center" wrapText="1"/>
    </xf>
    <xf numFmtId="0" fontId="24" fillId="24" borderId="0" xfId="48" applyFont="1" applyFill="1" applyAlignment="1">
      <alignment vertical="center" wrapText="1"/>
    </xf>
    <xf numFmtId="0" fontId="24" fillId="24" borderId="0" xfId="48" applyFont="1" applyFill="1" applyBorder="1" applyAlignment="1">
      <alignment vertical="center" wrapText="1"/>
    </xf>
    <xf numFmtId="0" fontId="35" fillId="24" borderId="0" xfId="48" applyFont="1" applyFill="1" applyBorder="1" applyAlignment="1">
      <alignment vertical="center" wrapText="1"/>
    </xf>
    <xf numFmtId="0" fontId="24" fillId="24" borderId="0" xfId="48" applyFont="1" applyFill="1" applyAlignment="1">
      <alignment horizontal="left" vertical="center"/>
    </xf>
    <xf numFmtId="0" fontId="24" fillId="24" borderId="0" xfId="48" applyFont="1" applyFill="1" applyAlignment="1">
      <alignment horizontal="center" vertical="center" wrapText="1"/>
    </xf>
    <xf numFmtId="0" fontId="3" fillId="24" borderId="0" xfId="48" applyFont="1" applyFill="1" applyAlignment="1">
      <alignment horizontal="right" vertical="center" wrapText="1"/>
    </xf>
    <xf numFmtId="0" fontId="38" fillId="0" borderId="0" xfId="52" applyFont="1" applyAlignment="1">
      <alignment horizontal="center" vertical="center" wrapText="1"/>
    </xf>
    <xf numFmtId="0" fontId="39" fillId="0" borderId="0" xfId="52" applyFont="1" applyAlignment="1">
      <alignment horizontal="center" vertical="center" wrapText="1"/>
    </xf>
    <xf numFmtId="0" fontId="41" fillId="0" borderId="0" xfId="52" applyFont="1" applyAlignment="1">
      <alignment horizontal="center" vertical="center" wrapText="1"/>
    </xf>
    <xf numFmtId="0" fontId="40" fillId="0" borderId="30" xfId="52" applyFont="1" applyBorder="1" applyAlignment="1">
      <alignment horizontal="center" vertical="center" wrapText="1"/>
    </xf>
    <xf numFmtId="0" fontId="40" fillId="0" borderId="2" xfId="52" applyFont="1" applyBorder="1" applyAlignment="1">
      <alignment horizontal="center" vertical="center" wrapText="1"/>
    </xf>
    <xf numFmtId="0" fontId="40" fillId="0" borderId="5" xfId="52" applyFont="1" applyBorder="1" applyAlignment="1">
      <alignment horizontal="center" vertical="center" wrapText="1"/>
    </xf>
    <xf numFmtId="0" fontId="40" fillId="0" borderId="31" xfId="52" applyFont="1" applyBorder="1" applyAlignment="1">
      <alignment horizontal="center" vertical="center" wrapText="1"/>
    </xf>
    <xf numFmtId="0" fontId="40" fillId="0" borderId="0" xfId="52" applyFont="1" applyAlignment="1">
      <alignment horizontal="center" vertical="center" wrapText="1"/>
    </xf>
    <xf numFmtId="0" fontId="1" fillId="0" borderId="30" xfId="52" applyFont="1" applyBorder="1" applyAlignment="1">
      <alignment horizontal="center" vertical="center" wrapText="1"/>
    </xf>
    <xf numFmtId="0" fontId="1" fillId="0" borderId="31" xfId="52" applyFont="1" applyBorder="1" applyAlignment="1">
      <alignment horizontal="left" vertical="center" wrapText="1"/>
    </xf>
    <xf numFmtId="0" fontId="41" fillId="0" borderId="2" xfId="52" applyFont="1" applyBorder="1" applyAlignment="1">
      <alignment horizontal="center" vertical="center" wrapText="1"/>
    </xf>
    <xf numFmtId="164" fontId="41" fillId="0" borderId="2" xfId="46" applyNumberFormat="1" applyFont="1" applyBorder="1" applyAlignment="1">
      <alignment horizontal="center" vertical="center" wrapText="1"/>
    </xf>
    <xf numFmtId="164" fontId="41" fillId="0" borderId="31" xfId="52" applyNumberFormat="1" applyFont="1" applyBorder="1" applyAlignment="1">
      <alignment horizontal="center" vertical="center" wrapText="1"/>
    </xf>
    <xf numFmtId="1" fontId="41" fillId="0" borderId="2" xfId="46" applyNumberFormat="1" applyFont="1" applyBorder="1" applyAlignment="1">
      <alignment horizontal="center" vertical="center" wrapText="1"/>
    </xf>
    <xf numFmtId="164" fontId="41" fillId="0" borderId="31" xfId="46" applyNumberFormat="1" applyFont="1" applyBorder="1" applyAlignment="1">
      <alignment horizontal="center" vertical="center" wrapText="1"/>
    </xf>
    <xf numFmtId="164" fontId="41" fillId="0" borderId="2" xfId="52" applyNumberFormat="1" applyFont="1" applyBorder="1" applyAlignment="1">
      <alignment horizontal="center" vertical="center" wrapText="1"/>
    </xf>
    <xf numFmtId="164" fontId="39" fillId="0" borderId="2" xfId="52" applyNumberFormat="1" applyFont="1" applyBorder="1" applyAlignment="1">
      <alignment horizontal="center" vertical="center" wrapText="1"/>
    </xf>
    <xf numFmtId="164" fontId="39" fillId="0" borderId="31" xfId="52" applyNumberFormat="1" applyFont="1" applyBorder="1" applyAlignment="1">
      <alignment horizontal="center" vertical="center" wrapText="1"/>
    </xf>
    <xf numFmtId="164" fontId="41" fillId="0" borderId="4" xfId="52" applyNumberFormat="1" applyFont="1" applyBorder="1" applyAlignment="1">
      <alignment horizontal="center" vertical="center" wrapText="1"/>
    </xf>
    <xf numFmtId="0" fontId="1" fillId="24" borderId="31" xfId="52" applyFont="1" applyFill="1" applyBorder="1" applyAlignment="1">
      <alignment horizontal="left" vertical="center" wrapText="1"/>
    </xf>
    <xf numFmtId="0" fontId="39" fillId="0" borderId="32" xfId="52" applyFont="1" applyBorder="1" applyAlignment="1">
      <alignment horizontal="center" vertical="center" wrapText="1"/>
    </xf>
    <xf numFmtId="0" fontId="2" fillId="0" borderId="33" xfId="52" applyFont="1" applyBorder="1" applyAlignment="1">
      <alignment horizontal="center" vertical="center" wrapText="1"/>
    </xf>
    <xf numFmtId="1" fontId="38" fillId="0" borderId="32" xfId="52" applyNumberFormat="1" applyFont="1" applyBorder="1" applyAlignment="1">
      <alignment horizontal="center" vertical="center" wrapText="1"/>
    </xf>
    <xf numFmtId="164" fontId="38" fillId="0" borderId="34" xfId="52" applyNumberFormat="1" applyFont="1" applyBorder="1" applyAlignment="1">
      <alignment horizontal="center" vertical="center" wrapText="1"/>
    </xf>
    <xf numFmtId="1" fontId="38" fillId="0" borderId="34" xfId="52" applyNumberFormat="1" applyFont="1" applyBorder="1" applyAlignment="1">
      <alignment horizontal="center" vertical="center" wrapText="1"/>
    </xf>
    <xf numFmtId="164" fontId="38" fillId="0" borderId="33" xfId="52" applyNumberFormat="1" applyFont="1" applyBorder="1" applyAlignment="1">
      <alignment horizontal="center" vertical="center" wrapText="1"/>
    </xf>
    <xf numFmtId="164" fontId="38" fillId="0" borderId="34" xfId="52" applyNumberFormat="1" applyFont="1" applyBorder="1" applyAlignment="1">
      <alignment horizontal="center" vertical="center"/>
    </xf>
    <xf numFmtId="164" fontId="38" fillId="0" borderId="33" xfId="52" applyNumberFormat="1" applyFont="1" applyBorder="1" applyAlignment="1">
      <alignment horizontal="center" vertical="center"/>
    </xf>
    <xf numFmtId="0" fontId="39" fillId="0" borderId="0" xfId="52" applyFont="1" applyBorder="1" applyAlignment="1">
      <alignment horizontal="center" vertical="center" wrapText="1"/>
    </xf>
    <xf numFmtId="0" fontId="38" fillId="0" borderId="0" xfId="52" applyFont="1" applyBorder="1" applyAlignment="1">
      <alignment horizontal="left" vertical="center" wrapText="1"/>
    </xf>
    <xf numFmtId="164" fontId="2" fillId="0" borderId="0" xfId="52" applyNumberFormat="1" applyFont="1" applyBorder="1" applyAlignment="1">
      <alignment horizontal="center" vertical="center" wrapText="1"/>
    </xf>
    <xf numFmtId="0" fontId="38" fillId="0" borderId="0" xfId="52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/>
    </xf>
    <xf numFmtId="164" fontId="38" fillId="0" borderId="0" xfId="52" applyNumberFormat="1" applyFont="1" applyBorder="1" applyAlignment="1">
      <alignment horizontal="center" vertical="center"/>
    </xf>
    <xf numFmtId="164" fontId="39" fillId="0" borderId="0" xfId="52" applyNumberFormat="1" applyFont="1" applyAlignment="1">
      <alignment horizontal="center" vertical="center" wrapText="1"/>
    </xf>
    <xf numFmtId="0" fontId="38" fillId="0" borderId="2" xfId="52" applyFont="1" applyBorder="1" applyAlignment="1">
      <alignment horizontal="center" vertical="center" wrapText="1"/>
    </xf>
    <xf numFmtId="0" fontId="42" fillId="0" borderId="2" xfId="52" applyFont="1" applyBorder="1" applyAlignment="1">
      <alignment horizontal="center" vertical="center" wrapText="1"/>
    </xf>
    <xf numFmtId="164" fontId="40" fillId="0" borderId="2" xfId="52" applyNumberFormat="1" applyFont="1" applyBorder="1" applyAlignment="1">
      <alignment horizontal="center" vertical="center" wrapText="1"/>
    </xf>
    <xf numFmtId="0" fontId="39" fillId="0" borderId="2" xfId="52" applyFont="1" applyBorder="1" applyAlignment="1">
      <alignment horizontal="center" vertical="center" wrapText="1"/>
    </xf>
    <xf numFmtId="0" fontId="1" fillId="0" borderId="2" xfId="52" applyFont="1" applyBorder="1" applyAlignment="1">
      <alignment horizontal="left" vertical="center" wrapText="1"/>
    </xf>
    <xf numFmtId="0" fontId="39" fillId="0" borderId="2" xfId="52" applyFont="1" applyBorder="1" applyAlignment="1">
      <alignment horizontal="left" vertical="center" wrapText="1"/>
    </xf>
    <xf numFmtId="0" fontId="38" fillId="0" borderId="2" xfId="52" applyFont="1" applyBorder="1" applyAlignment="1">
      <alignment horizontal="left" vertical="center"/>
    </xf>
    <xf numFmtId="164" fontId="38" fillId="0" borderId="2" xfId="52" applyNumberFormat="1" applyFont="1" applyBorder="1" applyAlignment="1">
      <alignment horizontal="center" vertical="center" wrapText="1"/>
    </xf>
    <xf numFmtId="0" fontId="38" fillId="0" borderId="0" xfId="52" applyFont="1" applyBorder="1" applyAlignment="1">
      <alignment horizontal="left" vertical="center"/>
    </xf>
    <xf numFmtId="164" fontId="38" fillId="0" borderId="0" xfId="52" applyNumberFormat="1" applyFont="1" applyBorder="1" applyAlignment="1">
      <alignment horizontal="center" vertical="center" wrapText="1"/>
    </xf>
    <xf numFmtId="0" fontId="40" fillId="0" borderId="0" xfId="52" applyFont="1" applyAlignment="1">
      <alignment horizontal="left" vertical="center"/>
    </xf>
    <xf numFmtId="0" fontId="2" fillId="0" borderId="0" xfId="52" applyFont="1" applyAlignment="1">
      <alignment horizontal="center" vertical="center" wrapText="1"/>
    </xf>
    <xf numFmtId="0" fontId="24" fillId="0" borderId="0" xfId="52" applyFont="1" applyAlignment="1">
      <alignment horizontal="center" vertical="center" wrapText="1"/>
    </xf>
    <xf numFmtId="0" fontId="24" fillId="0" borderId="0" xfId="52" applyFont="1" applyAlignment="1">
      <alignment horizontal="left" vertical="center" wrapText="1"/>
    </xf>
    <xf numFmtId="164" fontId="2" fillId="0" borderId="0" xfId="52" applyNumberFormat="1" applyFont="1" applyAlignment="1">
      <alignment horizontal="center" vertical="center" wrapText="1"/>
    </xf>
    <xf numFmtId="0" fontId="25" fillId="0" borderId="0" xfId="52" applyFont="1" applyAlignment="1">
      <alignment horizontal="left" vertical="center" wrapText="1"/>
    </xf>
    <xf numFmtId="0" fontId="25" fillId="0" borderId="0" xfId="52" applyFont="1" applyAlignment="1">
      <alignment horizontal="center" vertical="center" wrapText="1"/>
    </xf>
    <xf numFmtId="0" fontId="43" fillId="0" borderId="0" xfId="52" applyFont="1" applyAlignment="1">
      <alignment horizontal="center" vertical="center" wrapText="1"/>
    </xf>
    <xf numFmtId="0" fontId="30" fillId="0" borderId="0" xfId="52" applyFont="1" applyBorder="1" applyAlignment="1">
      <alignment horizontal="center" vertical="center" wrapText="1"/>
    </xf>
    <xf numFmtId="0" fontId="44" fillId="0" borderId="0" xfId="52" applyFont="1" applyAlignment="1">
      <alignment horizontal="center" vertical="center" wrapText="1"/>
    </xf>
    <xf numFmtId="0" fontId="24" fillId="0" borderId="0" xfId="52" applyFont="1" applyAlignment="1">
      <alignment horizontal="left" vertical="center"/>
    </xf>
    <xf numFmtId="0" fontId="38" fillId="0" borderId="0" xfId="52" applyFont="1" applyAlignment="1">
      <alignment horizontal="left" vertical="center" wrapText="1"/>
    </xf>
    <xf numFmtId="0" fontId="27" fillId="0" borderId="0" xfId="52" applyFont="1" applyAlignment="1">
      <alignment horizontal="center" vertical="center" wrapText="1"/>
    </xf>
    <xf numFmtId="0" fontId="39" fillId="0" borderId="0" xfId="52" applyFont="1" applyAlignment="1">
      <alignment horizontal="right" vertical="center"/>
    </xf>
    <xf numFmtId="2" fontId="39" fillId="0" borderId="0" xfId="52" applyNumberFormat="1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7" fillId="0" borderId="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0" fontId="45" fillId="0" borderId="2" xfId="0" applyFont="1" applyBorder="1" applyAlignment="1">
      <alignment vertical="center"/>
    </xf>
    <xf numFmtId="0" fontId="45" fillId="25" borderId="2" xfId="0" applyFont="1" applyFill="1" applyBorder="1" applyAlignment="1">
      <alignment horizontal="center"/>
    </xf>
    <xf numFmtId="0" fontId="45" fillId="0" borderId="2" xfId="0" applyFont="1" applyBorder="1" applyAlignment="1">
      <alignment vertical="center" wrapText="1"/>
    </xf>
    <xf numFmtId="1" fontId="45" fillId="25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25" borderId="0" xfId="0" applyFont="1" applyFill="1" applyAlignment="1">
      <alignment horizontal="center"/>
    </xf>
    <xf numFmtId="2" fontId="45" fillId="0" borderId="2" xfId="0" applyNumberFormat="1" applyFont="1" applyBorder="1" applyAlignment="1">
      <alignment horizontal="left" vertical="center" wrapText="1"/>
    </xf>
    <xf numFmtId="1" fontId="45" fillId="25" borderId="2" xfId="0" applyNumberFormat="1" applyFont="1" applyFill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24" borderId="2" xfId="0" applyFont="1" applyFill="1" applyBorder="1" applyAlignment="1">
      <alignment horizontal="center"/>
    </xf>
    <xf numFmtId="165" fontId="45" fillId="0" borderId="0" xfId="0" applyNumberFormat="1" applyFont="1" applyAlignment="1">
      <alignment horizontal="center"/>
    </xf>
    <xf numFmtId="0" fontId="45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 wrapText="1"/>
    </xf>
    <xf numFmtId="0" fontId="47" fillId="0" borderId="2" xfId="0" applyFont="1" applyBorder="1" applyAlignment="1">
      <alignment vertical="center"/>
    </xf>
    <xf numFmtId="2" fontId="47" fillId="25" borderId="2" xfId="0" applyNumberFormat="1" applyFont="1" applyFill="1" applyBorder="1" applyAlignment="1">
      <alignment horizontal="center"/>
    </xf>
    <xf numFmtId="0" fontId="47" fillId="25" borderId="2" xfId="0" applyFont="1" applyFill="1" applyBorder="1" applyAlignment="1">
      <alignment horizontal="center"/>
    </xf>
    <xf numFmtId="1" fontId="47" fillId="25" borderId="2" xfId="0" applyNumberFormat="1" applyFont="1" applyFill="1" applyBorder="1" applyAlignment="1">
      <alignment horizontal="center"/>
    </xf>
    <xf numFmtId="0" fontId="41" fillId="24" borderId="0" xfId="0" applyFont="1" applyFill="1" applyAlignment="1">
      <alignment vertical="center"/>
    </xf>
    <xf numFmtId="0" fontId="48" fillId="24" borderId="0" xfId="0" applyFont="1" applyFill="1" applyAlignment="1">
      <alignment vertical="center" wrapText="1"/>
    </xf>
    <xf numFmtId="0" fontId="49" fillId="24" borderId="0" xfId="0" applyFont="1" applyFill="1" applyAlignment="1">
      <alignment vertical="center"/>
    </xf>
    <xf numFmtId="0" fontId="50" fillId="24" borderId="0" xfId="0" applyFont="1" applyFill="1" applyAlignment="1">
      <alignment horizontal="center" vertical="center"/>
    </xf>
    <xf numFmtId="0" fontId="51" fillId="24" borderId="0" xfId="0" applyFont="1" applyFill="1" applyAlignment="1">
      <alignment vertical="center"/>
    </xf>
    <xf numFmtId="0" fontId="2" fillId="24" borderId="1" xfId="0" applyFont="1" applyFill="1" applyBorder="1" applyAlignment="1">
      <alignment horizontal="right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41" fillId="24" borderId="0" xfId="0" applyFont="1" applyFill="1" applyBorder="1" applyAlignment="1">
      <alignment vertical="center"/>
    </xf>
    <xf numFmtId="0" fontId="49" fillId="24" borderId="0" xfId="0" applyFont="1" applyFill="1" applyAlignment="1">
      <alignment vertical="center" wrapText="1"/>
    </xf>
    <xf numFmtId="0" fontId="51" fillId="24" borderId="0" xfId="0" applyFont="1" applyFill="1" applyAlignment="1">
      <alignment horizontal="center" vertical="center"/>
    </xf>
    <xf numFmtId="0" fontId="51" fillId="24" borderId="0" xfId="0" applyFont="1" applyFill="1" applyAlignment="1">
      <alignment horizontal="left" vertical="center" wrapText="1"/>
    </xf>
    <xf numFmtId="0" fontId="41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53" fillId="24" borderId="0" xfId="0" applyFont="1" applyFill="1" applyAlignment="1">
      <alignment horizontal="left" vertical="center" wrapText="1"/>
    </xf>
    <xf numFmtId="0" fontId="51" fillId="24" borderId="0" xfId="0" applyFont="1" applyFill="1" applyAlignment="1">
      <alignment vertical="center" wrapText="1"/>
    </xf>
    <xf numFmtId="0" fontId="41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left" vertical="center"/>
    </xf>
    <xf numFmtId="0" fontId="41" fillId="24" borderId="0" xfId="0" applyFont="1" applyFill="1" applyBorder="1" applyAlignment="1">
      <alignment horizontal="left" vertical="center"/>
    </xf>
    <xf numFmtId="49" fontId="1" fillId="24" borderId="0" xfId="0" applyNumberFormat="1" applyFont="1" applyFill="1" applyAlignment="1" applyProtection="1">
      <alignment horizontal="right"/>
    </xf>
    <xf numFmtId="0" fontId="1" fillId="24" borderId="0" xfId="0" applyFont="1" applyFill="1" applyAlignment="1" applyProtection="1">
      <alignment horizontal="left"/>
    </xf>
    <xf numFmtId="0" fontId="1" fillId="24" borderId="0" xfId="0" applyFont="1" applyFill="1" applyProtection="1"/>
    <xf numFmtId="0" fontId="1" fillId="24" borderId="0" xfId="0" applyFont="1" applyFill="1" applyProtection="1">
      <protection locked="0"/>
    </xf>
    <xf numFmtId="0" fontId="54" fillId="24" borderId="6" xfId="0" applyFont="1" applyFill="1" applyBorder="1" applyAlignment="1" applyProtection="1">
      <alignment horizontal="center" vertical="center" wrapText="1"/>
    </xf>
    <xf numFmtId="0" fontId="55" fillId="24" borderId="41" xfId="0" applyFont="1" applyFill="1" applyBorder="1" applyAlignment="1" applyProtection="1">
      <alignment horizontal="center" vertical="center" wrapText="1"/>
    </xf>
    <xf numFmtId="49" fontId="56" fillId="24" borderId="43" xfId="0" applyNumberFormat="1" applyFont="1" applyFill="1" applyBorder="1" applyAlignment="1" applyProtection="1">
      <alignment horizontal="center" vertical="center" wrapText="1"/>
    </xf>
    <xf numFmtId="0" fontId="56" fillId="24" borderId="44" xfId="0" applyFont="1" applyFill="1" applyBorder="1" applyAlignment="1" applyProtection="1">
      <alignment horizontal="center" vertical="center" wrapText="1"/>
    </xf>
    <xf numFmtId="0" fontId="56" fillId="24" borderId="45" xfId="0" applyFont="1" applyFill="1" applyBorder="1" applyAlignment="1" applyProtection="1">
      <alignment horizontal="center" vertical="center" wrapText="1"/>
    </xf>
    <xf numFmtId="0" fontId="56" fillId="24" borderId="43" xfId="0" applyFont="1" applyFill="1" applyBorder="1" applyAlignment="1" applyProtection="1">
      <alignment horizontal="center" vertical="center" wrapText="1"/>
    </xf>
    <xf numFmtId="49" fontId="56" fillId="24" borderId="28" xfId="0" applyNumberFormat="1" applyFont="1" applyFill="1" applyBorder="1" applyAlignment="1" applyProtection="1">
      <alignment horizontal="right" vertical="top" wrapText="1"/>
    </xf>
    <xf numFmtId="0" fontId="56" fillId="24" borderId="19" xfId="0" applyFont="1" applyFill="1" applyBorder="1" applyAlignment="1" applyProtection="1">
      <alignment horizontal="left" vertical="top" wrapText="1"/>
    </xf>
    <xf numFmtId="0" fontId="56" fillId="24" borderId="29" xfId="0" applyFont="1" applyFill="1" applyBorder="1" applyAlignment="1" applyProtection="1">
      <alignment horizontal="center" vertical="top" wrapText="1"/>
    </xf>
    <xf numFmtId="166" fontId="56" fillId="24" borderId="28" xfId="51" applyNumberFormat="1" applyFont="1" applyFill="1" applyBorder="1" applyAlignment="1" applyProtection="1">
      <alignment vertical="top" wrapText="1"/>
    </xf>
    <xf numFmtId="166" fontId="56" fillId="24" borderId="19" xfId="51" applyNumberFormat="1" applyFont="1" applyFill="1" applyBorder="1" applyAlignment="1" applyProtection="1">
      <alignment vertical="top" wrapText="1"/>
    </xf>
    <xf numFmtId="166" fontId="56" fillId="24" borderId="29" xfId="51" applyNumberFormat="1" applyFont="1" applyFill="1" applyBorder="1" applyAlignment="1">
      <alignment vertical="top" wrapText="1"/>
    </xf>
    <xf numFmtId="0" fontId="24" fillId="24" borderId="0" xfId="0" applyFont="1" applyFill="1" applyAlignment="1">
      <alignment vertical="center"/>
    </xf>
    <xf numFmtId="0" fontId="40" fillId="24" borderId="0" xfId="0" applyFont="1" applyFill="1" applyAlignment="1">
      <alignment vertical="top"/>
    </xf>
    <xf numFmtId="49" fontId="56" fillId="24" borderId="30" xfId="0" applyNumberFormat="1" applyFont="1" applyFill="1" applyBorder="1" applyAlignment="1" applyProtection="1">
      <alignment horizontal="right" vertical="top" wrapText="1"/>
    </xf>
    <xf numFmtId="0" fontId="56" fillId="24" borderId="2" xfId="0" applyFont="1" applyFill="1" applyBorder="1" applyAlignment="1" applyProtection="1">
      <alignment horizontal="left" vertical="top" wrapText="1"/>
    </xf>
    <xf numFmtId="0" fontId="56" fillId="24" borderId="31" xfId="0" applyFont="1" applyFill="1" applyBorder="1" applyAlignment="1" applyProtection="1">
      <alignment horizontal="center" vertical="top" wrapText="1"/>
    </xf>
    <xf numFmtId="166" fontId="56" fillId="24" borderId="30" xfId="51" applyNumberFormat="1" applyFont="1" applyFill="1" applyBorder="1" applyAlignment="1" applyProtection="1">
      <alignment vertical="top" wrapText="1"/>
    </xf>
    <xf numFmtId="166" fontId="56" fillId="24" borderId="2" xfId="51" applyNumberFormat="1" applyFont="1" applyFill="1" applyBorder="1" applyAlignment="1" applyProtection="1">
      <alignment vertical="top" wrapText="1"/>
    </xf>
    <xf numFmtId="166" fontId="56" fillId="24" borderId="31" xfId="51" applyNumberFormat="1" applyFont="1" applyFill="1" applyBorder="1" applyAlignment="1">
      <alignment vertical="top" wrapText="1"/>
    </xf>
    <xf numFmtId="49" fontId="57" fillId="24" borderId="30" xfId="0" applyNumberFormat="1" applyFont="1" applyFill="1" applyBorder="1" applyAlignment="1" applyProtection="1">
      <alignment horizontal="right" vertical="top" wrapText="1"/>
    </xf>
    <xf numFmtId="0" fontId="57" fillId="24" borderId="2" xfId="0" applyFont="1" applyFill="1" applyBorder="1" applyAlignment="1" applyProtection="1">
      <alignment horizontal="left" vertical="top" wrapText="1"/>
    </xf>
    <xf numFmtId="0" fontId="57" fillId="24" borderId="31" xfId="0" applyFont="1" applyFill="1" applyBorder="1" applyAlignment="1" applyProtection="1">
      <alignment horizontal="center" vertical="top" wrapText="1"/>
    </xf>
    <xf numFmtId="166" fontId="57" fillId="24" borderId="30" xfId="51" applyNumberFormat="1" applyFont="1" applyFill="1" applyBorder="1" applyAlignment="1" applyProtection="1">
      <alignment vertical="top" wrapText="1"/>
    </xf>
    <xf numFmtId="166" fontId="57" fillId="24" borderId="2" xfId="51" applyNumberFormat="1" applyFont="1" applyFill="1" applyBorder="1" applyAlignment="1" applyProtection="1">
      <alignment vertical="top" wrapText="1"/>
    </xf>
    <xf numFmtId="166" fontId="57" fillId="24" borderId="31" xfId="51" applyNumberFormat="1" applyFont="1" applyFill="1" applyBorder="1" applyAlignment="1">
      <alignment vertical="top" wrapText="1"/>
    </xf>
    <xf numFmtId="0" fontId="26" fillId="24" borderId="0" xfId="0" applyFont="1" applyFill="1" applyAlignment="1">
      <alignment vertical="center"/>
    </xf>
    <xf numFmtId="0" fontId="58" fillId="24" borderId="0" xfId="0" applyFont="1" applyFill="1" applyAlignment="1">
      <alignment vertical="top"/>
    </xf>
    <xf numFmtId="49" fontId="54" fillId="24" borderId="30" xfId="0" applyNumberFormat="1" applyFont="1" applyFill="1" applyBorder="1" applyAlignment="1" applyProtection="1">
      <alignment horizontal="right" vertical="top" wrapText="1"/>
    </xf>
    <xf numFmtId="0" fontId="54" fillId="24" borderId="2" xfId="0" applyFont="1" applyFill="1" applyBorder="1" applyAlignment="1" applyProtection="1">
      <alignment horizontal="left" vertical="top" wrapText="1"/>
    </xf>
    <xf numFmtId="0" fontId="54" fillId="24" borderId="31" xfId="0" applyFont="1" applyFill="1" applyBorder="1" applyAlignment="1" applyProtection="1">
      <alignment horizontal="center" vertical="top" wrapText="1"/>
    </xf>
    <xf numFmtId="166" fontId="54" fillId="24" borderId="30" xfId="51" applyNumberFormat="1" applyFont="1" applyFill="1" applyBorder="1" applyAlignment="1" applyProtection="1">
      <alignment vertical="top" wrapText="1"/>
    </xf>
    <xf numFmtId="166" fontId="54" fillId="24" borderId="2" xfId="51" applyNumberFormat="1" applyFont="1" applyFill="1" applyBorder="1" applyAlignment="1" applyProtection="1">
      <alignment vertical="top" wrapText="1"/>
    </xf>
    <xf numFmtId="166" fontId="54" fillId="24" borderId="31" xfId="51" applyNumberFormat="1" applyFont="1" applyFill="1" applyBorder="1" applyAlignment="1" applyProtection="1">
      <alignment vertical="top" wrapText="1"/>
      <protection locked="0"/>
    </xf>
    <xf numFmtId="0" fontId="1" fillId="24" borderId="0" xfId="0" applyFont="1" applyFill="1" applyAlignment="1">
      <alignment vertical="top"/>
    </xf>
    <xf numFmtId="166" fontId="54" fillId="24" borderId="30" xfId="51" applyNumberFormat="1" applyFont="1" applyFill="1" applyBorder="1" applyAlignment="1" applyProtection="1">
      <alignment horizontal="center" vertical="top" wrapText="1"/>
    </xf>
    <xf numFmtId="166" fontId="54" fillId="24" borderId="2" xfId="51" applyNumberFormat="1" applyFont="1" applyFill="1" applyBorder="1" applyAlignment="1" applyProtection="1">
      <alignment horizontal="center" vertical="top" wrapText="1"/>
    </xf>
    <xf numFmtId="166" fontId="54" fillId="24" borderId="31" xfId="51" applyNumberFormat="1" applyFont="1" applyFill="1" applyBorder="1" applyAlignment="1" applyProtection="1">
      <alignment horizontal="center" vertical="top" wrapText="1"/>
      <protection locked="0"/>
    </xf>
    <xf numFmtId="166" fontId="54" fillId="24" borderId="31" xfId="51" applyNumberFormat="1" applyFont="1" applyFill="1" applyBorder="1" applyAlignment="1">
      <alignment vertical="top" wrapText="1"/>
    </xf>
    <xf numFmtId="166" fontId="1" fillId="24" borderId="0" xfId="0" applyNumberFormat="1" applyFont="1" applyFill="1" applyAlignment="1">
      <alignment vertical="top"/>
    </xf>
    <xf numFmtId="49" fontId="59" fillId="24" borderId="30" xfId="0" applyNumberFormat="1" applyFont="1" applyFill="1" applyBorder="1" applyAlignment="1" applyProtection="1">
      <alignment horizontal="right" vertical="top" wrapText="1"/>
    </xf>
    <xf numFmtId="0" fontId="59" fillId="24" borderId="2" xfId="0" applyFont="1" applyFill="1" applyBorder="1" applyAlignment="1" applyProtection="1">
      <alignment horizontal="left" vertical="top" wrapText="1"/>
    </xf>
    <xf numFmtId="0" fontId="60" fillId="24" borderId="0" xfId="0" applyFont="1" applyFill="1" applyAlignment="1">
      <alignment vertical="top"/>
    </xf>
    <xf numFmtId="0" fontId="26" fillId="24" borderId="0" xfId="0" applyFont="1" applyFill="1" applyAlignment="1">
      <alignment horizontal="left" vertical="center"/>
    </xf>
    <xf numFmtId="0" fontId="54" fillId="24" borderId="6" xfId="0" applyFont="1" applyFill="1" applyBorder="1" applyAlignment="1" applyProtection="1">
      <alignment horizontal="left" vertical="top" wrapText="1"/>
    </xf>
    <xf numFmtId="0" fontId="26" fillId="24" borderId="0" xfId="0" applyFont="1" applyFill="1" applyBorder="1" applyAlignment="1">
      <alignment horizontal="left" vertical="center"/>
    </xf>
    <xf numFmtId="167" fontId="24" fillId="24" borderId="0" xfId="0" applyNumberFormat="1" applyFont="1" applyFill="1" applyAlignment="1">
      <alignment vertical="center"/>
    </xf>
    <xf numFmtId="166" fontId="60" fillId="24" borderId="0" xfId="0" applyNumberFormat="1" applyFont="1" applyFill="1" applyAlignment="1">
      <alignment vertical="top"/>
    </xf>
    <xf numFmtId="49" fontId="59" fillId="24" borderId="32" xfId="0" applyNumberFormat="1" applyFont="1" applyFill="1" applyBorder="1" applyAlignment="1" applyProtection="1">
      <alignment horizontal="right" vertical="top" wrapText="1"/>
    </xf>
    <xf numFmtId="0" fontId="59" fillId="24" borderId="34" xfId="0" applyFont="1" applyFill="1" applyBorder="1" applyAlignment="1" applyProtection="1">
      <alignment horizontal="left" vertical="top" wrapText="1"/>
    </xf>
    <xf numFmtId="167" fontId="26" fillId="24" borderId="0" xfId="0" applyNumberFormat="1" applyFont="1" applyFill="1" applyAlignment="1">
      <alignment vertical="center"/>
    </xf>
    <xf numFmtId="0" fontId="1" fillId="24" borderId="0" xfId="0" applyFont="1" applyFill="1"/>
    <xf numFmtId="0" fontId="41" fillId="24" borderId="0" xfId="0" applyFont="1" applyFill="1" applyAlignment="1" applyProtection="1">
      <alignment horizontal="left"/>
      <protection locked="0"/>
    </xf>
    <xf numFmtId="0" fontId="25" fillId="24" borderId="0" xfId="0" applyFont="1" applyFill="1" applyAlignment="1" applyProtection="1">
      <alignment vertical="top"/>
    </xf>
    <xf numFmtId="0" fontId="26" fillId="24" borderId="0" xfId="0" applyFont="1" applyFill="1" applyAlignment="1" applyProtection="1">
      <alignment horizontal="right"/>
    </xf>
    <xf numFmtId="0" fontId="26" fillId="24" borderId="1" xfId="0" applyFont="1" applyFill="1" applyBorder="1" applyAlignment="1" applyProtection="1">
      <alignment vertical="top"/>
      <protection locked="0"/>
    </xf>
    <xf numFmtId="0" fontId="25" fillId="24" borderId="0" xfId="0" applyFont="1" applyFill="1" applyAlignment="1">
      <alignment vertical="top"/>
    </xf>
    <xf numFmtId="0" fontId="24" fillId="24" borderId="0" xfId="0" applyFont="1" applyFill="1" applyAlignment="1" applyProtection="1"/>
    <xf numFmtId="0" fontId="31" fillId="24" borderId="0" xfId="0" applyFont="1" applyFill="1" applyBorder="1" applyAlignment="1" applyProtection="1">
      <alignment horizontal="center" vertical="top"/>
    </xf>
    <xf numFmtId="0" fontId="3" fillId="24" borderId="0" xfId="0" applyFont="1" applyFill="1" applyAlignment="1" applyProtection="1">
      <alignment vertical="top"/>
    </xf>
    <xf numFmtId="0" fontId="26" fillId="24" borderId="0" xfId="0" applyFont="1" applyFill="1" applyBorder="1" applyAlignment="1" applyProtection="1">
      <alignment horizontal="right"/>
    </xf>
    <xf numFmtId="0" fontId="3" fillId="24" borderId="0" xfId="0" applyFont="1" applyFill="1" applyAlignment="1">
      <alignment vertical="top"/>
    </xf>
    <xf numFmtId="49" fontId="1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 horizontal="left"/>
    </xf>
    <xf numFmtId="0" fontId="48" fillId="24" borderId="31" xfId="0" applyFont="1" applyFill="1" applyBorder="1" applyAlignment="1" applyProtection="1">
      <alignment horizontal="center" vertical="top" wrapText="1"/>
    </xf>
    <xf numFmtId="166" fontId="53" fillId="24" borderId="30" xfId="51" applyNumberFormat="1" applyFont="1" applyFill="1" applyBorder="1" applyAlignment="1" applyProtection="1">
      <alignment vertical="top" wrapText="1"/>
    </xf>
    <xf numFmtId="166" fontId="53" fillId="24" borderId="2" xfId="51" applyNumberFormat="1" applyFont="1" applyFill="1" applyBorder="1" applyAlignment="1" applyProtection="1">
      <alignment vertical="top" wrapText="1"/>
    </xf>
    <xf numFmtId="166" fontId="48" fillId="24" borderId="31" xfId="51" applyNumberFormat="1" applyFont="1" applyFill="1" applyBorder="1" applyAlignment="1">
      <alignment vertical="top" wrapText="1"/>
    </xf>
    <xf numFmtId="0" fontId="53" fillId="24" borderId="31" xfId="0" applyFont="1" applyFill="1" applyBorder="1" applyAlignment="1" applyProtection="1">
      <alignment horizontal="center" vertical="top" wrapText="1"/>
    </xf>
    <xf numFmtId="166" fontId="53" fillId="24" borderId="31" xfId="51" applyNumberFormat="1" applyFont="1" applyFill="1" applyBorder="1" applyAlignment="1">
      <alignment vertical="top" wrapText="1"/>
    </xf>
    <xf numFmtId="166" fontId="53" fillId="24" borderId="31" xfId="51" applyNumberFormat="1" applyFont="1" applyFill="1" applyBorder="1" applyAlignment="1" applyProtection="1">
      <alignment vertical="top" wrapText="1"/>
      <protection locked="0"/>
    </xf>
    <xf numFmtId="166" fontId="48" fillId="24" borderId="30" xfId="51" applyNumberFormat="1" applyFont="1" applyFill="1" applyBorder="1" applyAlignment="1" applyProtection="1">
      <alignment vertical="top" wrapText="1"/>
    </xf>
    <xf numFmtId="166" fontId="48" fillId="24" borderId="2" xfId="51" applyNumberFormat="1" applyFont="1" applyFill="1" applyBorder="1" applyAlignment="1" applyProtection="1">
      <alignment vertical="top" wrapText="1"/>
    </xf>
    <xf numFmtId="0" fontId="62" fillId="24" borderId="31" xfId="0" applyFont="1" applyFill="1" applyBorder="1" applyAlignment="1" applyProtection="1">
      <alignment horizontal="center" vertical="top" wrapText="1"/>
    </xf>
    <xf numFmtId="166" fontId="62" fillId="24" borderId="30" xfId="51" applyNumberFormat="1" applyFont="1" applyFill="1" applyBorder="1" applyAlignment="1" applyProtection="1">
      <alignment vertical="top" wrapText="1"/>
    </xf>
    <xf numFmtId="166" fontId="62" fillId="24" borderId="2" xfId="51" applyNumberFormat="1" applyFont="1" applyFill="1" applyBorder="1" applyAlignment="1" applyProtection="1">
      <alignment vertical="top" wrapText="1"/>
    </xf>
    <xf numFmtId="166" fontId="62" fillId="24" borderId="31" xfId="51" applyNumberFormat="1" applyFont="1" applyFill="1" applyBorder="1" applyAlignment="1">
      <alignment vertical="top" wrapText="1"/>
    </xf>
    <xf numFmtId="166" fontId="62" fillId="24" borderId="31" xfId="51" applyNumberFormat="1" applyFont="1" applyFill="1" applyBorder="1" applyAlignment="1" applyProtection="1">
      <alignment vertical="top" wrapText="1"/>
      <protection locked="0"/>
    </xf>
    <xf numFmtId="0" fontId="62" fillId="24" borderId="33" xfId="0" applyFont="1" applyFill="1" applyBorder="1" applyAlignment="1" applyProtection="1">
      <alignment horizontal="center" vertical="top" wrapText="1"/>
    </xf>
    <xf numFmtId="166" fontId="62" fillId="24" borderId="32" xfId="51" applyNumberFormat="1" applyFont="1" applyFill="1" applyBorder="1" applyAlignment="1" applyProtection="1">
      <alignment vertical="top" wrapText="1"/>
    </xf>
    <xf numFmtId="166" fontId="62" fillId="24" borderId="34" xfId="51" applyNumberFormat="1" applyFont="1" applyFill="1" applyBorder="1" applyAlignment="1" applyProtection="1">
      <alignment vertical="top" wrapText="1"/>
    </xf>
    <xf numFmtId="166" fontId="62" fillId="24" borderId="33" xfId="51" applyNumberFormat="1" applyFont="1" applyFill="1" applyBorder="1" applyAlignment="1" applyProtection="1">
      <alignment vertical="top" wrapText="1"/>
    </xf>
    <xf numFmtId="0" fontId="41" fillId="24" borderId="0" xfId="0" applyFont="1" applyFill="1" applyProtection="1"/>
    <xf numFmtId="0" fontId="24" fillId="24" borderId="0" xfId="0" applyFont="1" applyFill="1" applyAlignment="1" applyProtection="1">
      <alignment vertical="top"/>
    </xf>
    <xf numFmtId="0" fontId="31" fillId="24" borderId="18" xfId="48" applyFont="1" applyFill="1" applyBorder="1" applyAlignment="1">
      <alignment horizontal="center" vertical="center" wrapText="1"/>
    </xf>
    <xf numFmtId="0" fontId="31" fillId="24" borderId="0" xfId="48" applyFont="1" applyFill="1" applyBorder="1" applyAlignment="1">
      <alignment horizontal="center" vertical="center" wrapText="1"/>
    </xf>
    <xf numFmtId="0" fontId="2" fillId="24" borderId="1" xfId="50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Alignment="1">
      <alignment horizontal="center" vertical="center" wrapText="1"/>
    </xf>
    <xf numFmtId="0" fontId="24" fillId="24" borderId="0" xfId="48" applyFont="1" applyFill="1" applyAlignment="1">
      <alignment horizontal="center" vertical="center" wrapText="1"/>
    </xf>
    <xf numFmtId="0" fontId="26" fillId="24" borderId="0" xfId="48" applyFont="1" applyFill="1" applyAlignment="1">
      <alignment horizontal="center" vertical="center"/>
    </xf>
    <xf numFmtId="164" fontId="3" fillId="24" borderId="6" xfId="48" applyNumberFormat="1" applyFont="1" applyFill="1" applyBorder="1" applyAlignment="1">
      <alignment horizontal="center" vertical="center" wrapText="1"/>
    </xf>
    <xf numFmtId="164" fontId="3" fillId="24" borderId="19" xfId="48" applyNumberFormat="1" applyFont="1" applyFill="1" applyBorder="1" applyAlignment="1">
      <alignment horizontal="center" vertical="center" wrapText="1"/>
    </xf>
    <xf numFmtId="1" fontId="3" fillId="24" borderId="6" xfId="48" applyNumberFormat="1" applyFont="1" applyFill="1" applyBorder="1" applyAlignment="1">
      <alignment horizontal="center" vertical="center" wrapText="1"/>
    </xf>
    <xf numFmtId="1" fontId="3" fillId="24" borderId="19" xfId="48" applyNumberFormat="1" applyFont="1" applyFill="1" applyBorder="1" applyAlignment="1">
      <alignment horizontal="center" vertical="center" wrapText="1"/>
    </xf>
    <xf numFmtId="0" fontId="3" fillId="24" borderId="6" xfId="48" applyFont="1" applyFill="1" applyBorder="1" applyAlignment="1">
      <alignment horizontal="center" vertical="center" wrapText="1"/>
    </xf>
    <xf numFmtId="0" fontId="3" fillId="24" borderId="19" xfId="48" applyFont="1" applyFill="1" applyBorder="1" applyAlignment="1">
      <alignment horizontal="center" vertical="center" wrapText="1"/>
    </xf>
    <xf numFmtId="0" fontId="29" fillId="0" borderId="0" xfId="52" applyFont="1" applyAlignment="1">
      <alignment horizontal="center" vertical="center" wrapText="1"/>
    </xf>
    <xf numFmtId="0" fontId="24" fillId="0" borderId="0" xfId="52" applyFont="1" applyAlignment="1">
      <alignment horizontal="center" vertical="center" wrapText="1"/>
    </xf>
    <xf numFmtId="0" fontId="40" fillId="0" borderId="20" xfId="52" applyFont="1" applyBorder="1" applyAlignment="1">
      <alignment horizontal="center" vertical="center" wrapText="1"/>
    </xf>
    <xf numFmtId="0" fontId="40" fillId="0" borderId="28" xfId="52" applyFont="1" applyBorder="1" applyAlignment="1">
      <alignment horizontal="center" vertical="center" wrapText="1"/>
    </xf>
    <xf numFmtId="0" fontId="40" fillId="0" borderId="21" xfId="52" applyFont="1" applyBorder="1" applyAlignment="1">
      <alignment horizontal="center" vertical="center" wrapText="1"/>
    </xf>
    <xf numFmtId="0" fontId="40" fillId="0" borderId="29" xfId="52" applyFont="1" applyBorder="1" applyAlignment="1">
      <alignment horizontal="center" vertical="center" wrapText="1"/>
    </xf>
    <xf numFmtId="0" fontId="2" fillId="0" borderId="22" xfId="52" applyFont="1" applyBorder="1" applyAlignment="1">
      <alignment horizontal="center" vertical="center" wrapText="1"/>
    </xf>
    <xf numFmtId="0" fontId="2" fillId="0" borderId="23" xfId="52" applyFont="1" applyBorder="1" applyAlignment="1">
      <alignment horizontal="center" vertical="center" wrapText="1"/>
    </xf>
    <xf numFmtId="0" fontId="2" fillId="0" borderId="24" xfId="52" applyFont="1" applyBorder="1" applyAlignment="1">
      <alignment horizontal="center" vertical="center" wrapText="1"/>
    </xf>
    <xf numFmtId="0" fontId="2" fillId="0" borderId="25" xfId="52" applyFont="1" applyBorder="1" applyAlignment="1">
      <alignment horizontal="center" vertical="center" wrapText="1"/>
    </xf>
    <xf numFmtId="0" fontId="2" fillId="0" borderId="26" xfId="52" applyFont="1" applyBorder="1" applyAlignment="1">
      <alignment horizontal="center" vertical="center" wrapText="1"/>
    </xf>
    <xf numFmtId="0" fontId="2" fillId="0" borderId="27" xfId="52" applyFont="1" applyBorder="1" applyAlignment="1">
      <alignment horizontal="center" vertical="center" wrapText="1"/>
    </xf>
    <xf numFmtId="0" fontId="24" fillId="0" borderId="1" xfId="52" applyFont="1" applyBorder="1" applyAlignment="1">
      <alignment horizontal="center" vertical="center" wrapText="1"/>
    </xf>
    <xf numFmtId="0" fontId="31" fillId="0" borderId="3" xfId="52" applyFont="1" applyBorder="1" applyAlignment="1">
      <alignment horizontal="center" vertical="center" wrapText="1"/>
    </xf>
    <xf numFmtId="0" fontId="38" fillId="0" borderId="0" xfId="52" applyFont="1" applyBorder="1" applyAlignment="1">
      <alignment horizontal="center" vertical="center" wrapText="1"/>
    </xf>
    <xf numFmtId="0" fontId="38" fillId="0" borderId="4" xfId="52" applyFont="1" applyBorder="1" applyAlignment="1">
      <alignment horizontal="center" vertical="center"/>
    </xf>
    <xf numFmtId="0" fontId="38" fillId="0" borderId="16" xfId="52" applyFont="1" applyBorder="1" applyAlignment="1">
      <alignment horizontal="center" vertical="center"/>
    </xf>
    <xf numFmtId="0" fontId="38" fillId="0" borderId="5" xfId="52" applyFont="1" applyBorder="1" applyAlignment="1">
      <alignment horizontal="center" vertical="center"/>
    </xf>
    <xf numFmtId="0" fontId="35" fillId="0" borderId="1" xfId="52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3" fillId="24" borderId="0" xfId="0" applyFont="1" applyFill="1" applyAlignment="1">
      <alignment horizontal="left" vertical="center" wrapText="1"/>
    </xf>
    <xf numFmtId="0" fontId="48" fillId="24" borderId="0" xfId="0" applyFont="1" applyFill="1" applyAlignment="1">
      <alignment horizontal="left" vertical="center"/>
    </xf>
    <xf numFmtId="0" fontId="48" fillId="24" borderId="0" xfId="0" applyFont="1" applyFill="1" applyAlignment="1">
      <alignment horizontal="left" vertical="center" wrapText="1"/>
    </xf>
    <xf numFmtId="0" fontId="2" fillId="24" borderId="0" xfId="0" applyFont="1" applyFill="1" applyBorder="1" applyAlignment="1">
      <alignment horizontal="right" vertical="center"/>
    </xf>
    <xf numFmtId="0" fontId="50" fillId="24" borderId="0" xfId="0" applyFont="1" applyFill="1" applyAlignment="1">
      <alignment horizontal="center" vertical="center"/>
    </xf>
    <xf numFmtId="0" fontId="52" fillId="24" borderId="0" xfId="0" applyFont="1" applyFill="1" applyAlignment="1">
      <alignment horizontal="center" vertical="center" wrapText="1"/>
    </xf>
    <xf numFmtId="49" fontId="54" fillId="24" borderId="20" xfId="0" applyNumberFormat="1" applyFont="1" applyFill="1" applyBorder="1" applyAlignment="1" applyProtection="1">
      <alignment horizontal="center" vertical="center" wrapText="1"/>
    </xf>
    <xf numFmtId="49" fontId="54" fillId="24" borderId="40" xfId="0" applyNumberFormat="1" applyFont="1" applyFill="1" applyBorder="1" applyAlignment="1" applyProtection="1">
      <alignment horizontal="center" vertical="center" wrapText="1"/>
    </xf>
    <xf numFmtId="0" fontId="54" fillId="24" borderId="26" xfId="0" applyFont="1" applyFill="1" applyBorder="1" applyAlignment="1" applyProtection="1">
      <alignment horizontal="center" vertical="center" wrapText="1"/>
    </xf>
    <xf numFmtId="0" fontId="54" fillId="24" borderId="27" xfId="0" applyFont="1" applyFill="1" applyBorder="1" applyAlignment="1" applyProtection="1">
      <alignment horizontal="center" vertical="center" wrapText="1"/>
    </xf>
    <xf numFmtId="0" fontId="54" fillId="24" borderId="2" xfId="0" applyFont="1" applyFill="1" applyBorder="1" applyAlignment="1" applyProtection="1">
      <alignment horizontal="center" vertical="center" wrapText="1"/>
    </xf>
    <xf numFmtId="0" fontId="54" fillId="24" borderId="31" xfId="0" applyFont="1" applyFill="1" applyBorder="1" applyAlignment="1" applyProtection="1">
      <alignment horizontal="center" vertical="center" wrapText="1"/>
    </xf>
    <xf numFmtId="0" fontId="54" fillId="24" borderId="25" xfId="0" applyFont="1" applyFill="1" applyBorder="1" applyAlignment="1" applyProtection="1">
      <alignment horizontal="center" vertical="center" wrapText="1"/>
    </xf>
    <xf numFmtId="0" fontId="41" fillId="24" borderId="0" xfId="0" applyFont="1" applyFill="1" applyBorder="1" applyAlignment="1">
      <alignment horizontal="left" vertical="center"/>
    </xf>
    <xf numFmtId="0" fontId="41" fillId="24" borderId="0" xfId="0" applyFont="1" applyFill="1" applyAlignment="1">
      <alignment horizontal="left" vertical="center" wrapText="1"/>
    </xf>
    <xf numFmtId="0" fontId="41" fillId="24" borderId="0" xfId="0" applyFont="1" applyFill="1" applyAlignment="1">
      <alignment horizontal="left" vertical="center"/>
    </xf>
    <xf numFmtId="0" fontId="55" fillId="24" borderId="30" xfId="0" applyFont="1" applyFill="1" applyBorder="1" applyAlignment="1" applyProtection="1">
      <alignment horizontal="center" vertical="center" textRotation="90" wrapText="1"/>
    </xf>
    <xf numFmtId="0" fontId="55" fillId="24" borderId="42" xfId="0" applyFont="1" applyFill="1" applyBorder="1" applyAlignment="1" applyProtection="1">
      <alignment horizontal="center" vertical="center" textRotation="90" wrapText="1"/>
    </xf>
    <xf numFmtId="0" fontId="55" fillId="24" borderId="2" xfId="0" applyFont="1" applyFill="1" applyBorder="1" applyAlignment="1" applyProtection="1">
      <alignment horizontal="center" vertical="center" textRotation="90" wrapText="1"/>
    </xf>
    <xf numFmtId="0" fontId="55" fillId="24" borderId="6" xfId="0" applyFont="1" applyFill="1" applyBorder="1" applyAlignment="1" applyProtection="1">
      <alignment horizontal="center" vertical="center" textRotation="90" wrapText="1"/>
    </xf>
    <xf numFmtId="0" fontId="55" fillId="24" borderId="31" xfId="0" applyFont="1" applyFill="1" applyBorder="1" applyAlignment="1" applyProtection="1">
      <alignment horizontal="center" vertical="center" textRotation="90" wrapText="1"/>
    </xf>
    <xf numFmtId="0" fontId="55" fillId="24" borderId="41" xfId="0" applyFont="1" applyFill="1" applyBorder="1" applyAlignment="1" applyProtection="1">
      <alignment horizontal="center" vertical="center" textRotation="90" wrapText="1"/>
    </xf>
    <xf numFmtId="0" fontId="31" fillId="24" borderId="0" xfId="0" applyFont="1" applyFill="1" applyBorder="1" applyAlignment="1" applyProtection="1">
      <alignment horizontal="center" vertical="top"/>
    </xf>
    <xf numFmtId="0" fontId="24" fillId="24" borderId="1" xfId="0" applyFont="1" applyFill="1" applyBorder="1" applyAlignment="1" applyProtection="1">
      <alignment horizontal="center" vertical="top"/>
    </xf>
    <xf numFmtId="0" fontId="3" fillId="24" borderId="1" xfId="0" applyFont="1" applyFill="1" applyBorder="1" applyAlignment="1" applyProtection="1">
      <alignment horizontal="center" vertical="top"/>
    </xf>
  </cellXfs>
  <cellStyles count="53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Comma" xfId="51" builtinId="3"/>
    <cellStyle name="Normal" xfId="0" builtinId="0"/>
    <cellStyle name="Normal 2" xfId="1"/>
    <cellStyle name="Normal 2 2" xfId="44"/>
    <cellStyle name="Normal 3" xfId="45"/>
    <cellStyle name="Normal 4" xfId="48"/>
    <cellStyle name="Normal 5" xfId="50"/>
    <cellStyle name="Style 1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46"/>
    <cellStyle name="Обычный 3 2" xfId="52"/>
    <cellStyle name="Обычный 4" xfId="49"/>
    <cellStyle name="Плохой" xfId="38"/>
    <cellStyle name="Пояснение" xfId="39"/>
    <cellStyle name="Примечание" xfId="40"/>
    <cellStyle name="Связанная ячейка" xfId="41"/>
    <cellStyle name="Стиль 1" xfId="47"/>
    <cellStyle name="Текст предупреждения" xfId="42"/>
    <cellStyle name="Хороший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topLeftCell="B1" workbookViewId="0">
      <selection activeCell="J12" sqref="J12"/>
    </sheetView>
  </sheetViews>
  <sheetFormatPr defaultRowHeight="13.5"/>
  <cols>
    <col min="1" max="1" width="2.42578125" style="1" hidden="1" customWidth="1"/>
    <col min="2" max="2" width="5.140625" style="1" customWidth="1"/>
    <col min="3" max="3" width="25.85546875" style="1" customWidth="1"/>
    <col min="4" max="4" width="15.85546875" style="1" customWidth="1"/>
    <col min="5" max="5" width="23.7109375" style="1" customWidth="1"/>
    <col min="6" max="6" width="15" style="1" customWidth="1"/>
    <col min="7" max="7" width="11.140625" style="1" customWidth="1"/>
    <col min="8" max="8" width="17" style="1" customWidth="1"/>
    <col min="9" max="9" width="15.42578125" style="1" customWidth="1"/>
    <col min="10" max="11" width="15.140625" style="1" customWidth="1"/>
    <col min="12" max="12" width="14.140625" style="1" customWidth="1"/>
    <col min="13" max="256" width="9.140625" style="1"/>
    <col min="257" max="257" width="0" style="1" hidden="1" customWidth="1"/>
    <col min="258" max="258" width="5.140625" style="1" customWidth="1"/>
    <col min="259" max="259" width="25.85546875" style="1" customWidth="1"/>
    <col min="260" max="260" width="15.85546875" style="1" customWidth="1"/>
    <col min="261" max="261" width="14.5703125" style="1" customWidth="1"/>
    <col min="262" max="262" width="15" style="1" customWidth="1"/>
    <col min="263" max="263" width="11.140625" style="1" customWidth="1"/>
    <col min="264" max="264" width="17" style="1" customWidth="1"/>
    <col min="265" max="265" width="15.42578125" style="1" customWidth="1"/>
    <col min="266" max="267" width="15.140625" style="1" customWidth="1"/>
    <col min="268" max="512" width="9.140625" style="1"/>
    <col min="513" max="513" width="0" style="1" hidden="1" customWidth="1"/>
    <col min="514" max="514" width="5.140625" style="1" customWidth="1"/>
    <col min="515" max="515" width="25.85546875" style="1" customWidth="1"/>
    <col min="516" max="516" width="15.85546875" style="1" customWidth="1"/>
    <col min="517" max="517" width="14.5703125" style="1" customWidth="1"/>
    <col min="518" max="518" width="15" style="1" customWidth="1"/>
    <col min="519" max="519" width="11.140625" style="1" customWidth="1"/>
    <col min="520" max="520" width="17" style="1" customWidth="1"/>
    <col min="521" max="521" width="15.42578125" style="1" customWidth="1"/>
    <col min="522" max="523" width="15.140625" style="1" customWidth="1"/>
    <col min="524" max="768" width="9.140625" style="1"/>
    <col min="769" max="769" width="0" style="1" hidden="1" customWidth="1"/>
    <col min="770" max="770" width="5.140625" style="1" customWidth="1"/>
    <col min="771" max="771" width="25.85546875" style="1" customWidth="1"/>
    <col min="772" max="772" width="15.85546875" style="1" customWidth="1"/>
    <col min="773" max="773" width="14.5703125" style="1" customWidth="1"/>
    <col min="774" max="774" width="15" style="1" customWidth="1"/>
    <col min="775" max="775" width="11.140625" style="1" customWidth="1"/>
    <col min="776" max="776" width="17" style="1" customWidth="1"/>
    <col min="777" max="777" width="15.42578125" style="1" customWidth="1"/>
    <col min="778" max="779" width="15.140625" style="1" customWidth="1"/>
    <col min="780" max="1024" width="9.140625" style="1"/>
    <col min="1025" max="1025" width="0" style="1" hidden="1" customWidth="1"/>
    <col min="1026" max="1026" width="5.140625" style="1" customWidth="1"/>
    <col min="1027" max="1027" width="25.85546875" style="1" customWidth="1"/>
    <col min="1028" max="1028" width="15.85546875" style="1" customWidth="1"/>
    <col min="1029" max="1029" width="14.5703125" style="1" customWidth="1"/>
    <col min="1030" max="1030" width="15" style="1" customWidth="1"/>
    <col min="1031" max="1031" width="11.140625" style="1" customWidth="1"/>
    <col min="1032" max="1032" width="17" style="1" customWidth="1"/>
    <col min="1033" max="1033" width="15.42578125" style="1" customWidth="1"/>
    <col min="1034" max="1035" width="15.140625" style="1" customWidth="1"/>
    <col min="1036" max="1280" width="9.140625" style="1"/>
    <col min="1281" max="1281" width="0" style="1" hidden="1" customWidth="1"/>
    <col min="1282" max="1282" width="5.140625" style="1" customWidth="1"/>
    <col min="1283" max="1283" width="25.85546875" style="1" customWidth="1"/>
    <col min="1284" max="1284" width="15.85546875" style="1" customWidth="1"/>
    <col min="1285" max="1285" width="14.5703125" style="1" customWidth="1"/>
    <col min="1286" max="1286" width="15" style="1" customWidth="1"/>
    <col min="1287" max="1287" width="11.140625" style="1" customWidth="1"/>
    <col min="1288" max="1288" width="17" style="1" customWidth="1"/>
    <col min="1289" max="1289" width="15.42578125" style="1" customWidth="1"/>
    <col min="1290" max="1291" width="15.140625" style="1" customWidth="1"/>
    <col min="1292" max="1536" width="9.140625" style="1"/>
    <col min="1537" max="1537" width="0" style="1" hidden="1" customWidth="1"/>
    <col min="1538" max="1538" width="5.140625" style="1" customWidth="1"/>
    <col min="1539" max="1539" width="25.85546875" style="1" customWidth="1"/>
    <col min="1540" max="1540" width="15.85546875" style="1" customWidth="1"/>
    <col min="1541" max="1541" width="14.5703125" style="1" customWidth="1"/>
    <col min="1542" max="1542" width="15" style="1" customWidth="1"/>
    <col min="1543" max="1543" width="11.140625" style="1" customWidth="1"/>
    <col min="1544" max="1544" width="17" style="1" customWidth="1"/>
    <col min="1545" max="1545" width="15.42578125" style="1" customWidth="1"/>
    <col min="1546" max="1547" width="15.140625" style="1" customWidth="1"/>
    <col min="1548" max="1792" width="9.140625" style="1"/>
    <col min="1793" max="1793" width="0" style="1" hidden="1" customWidth="1"/>
    <col min="1794" max="1794" width="5.140625" style="1" customWidth="1"/>
    <col min="1795" max="1795" width="25.85546875" style="1" customWidth="1"/>
    <col min="1796" max="1796" width="15.85546875" style="1" customWidth="1"/>
    <col min="1797" max="1797" width="14.5703125" style="1" customWidth="1"/>
    <col min="1798" max="1798" width="15" style="1" customWidth="1"/>
    <col min="1799" max="1799" width="11.140625" style="1" customWidth="1"/>
    <col min="1800" max="1800" width="17" style="1" customWidth="1"/>
    <col min="1801" max="1801" width="15.42578125" style="1" customWidth="1"/>
    <col min="1802" max="1803" width="15.140625" style="1" customWidth="1"/>
    <col min="1804" max="2048" width="9.140625" style="1"/>
    <col min="2049" max="2049" width="0" style="1" hidden="1" customWidth="1"/>
    <col min="2050" max="2050" width="5.140625" style="1" customWidth="1"/>
    <col min="2051" max="2051" width="25.85546875" style="1" customWidth="1"/>
    <col min="2052" max="2052" width="15.85546875" style="1" customWidth="1"/>
    <col min="2053" max="2053" width="14.5703125" style="1" customWidth="1"/>
    <col min="2054" max="2054" width="15" style="1" customWidth="1"/>
    <col min="2055" max="2055" width="11.140625" style="1" customWidth="1"/>
    <col min="2056" max="2056" width="17" style="1" customWidth="1"/>
    <col min="2057" max="2057" width="15.42578125" style="1" customWidth="1"/>
    <col min="2058" max="2059" width="15.140625" style="1" customWidth="1"/>
    <col min="2060" max="2304" width="9.140625" style="1"/>
    <col min="2305" max="2305" width="0" style="1" hidden="1" customWidth="1"/>
    <col min="2306" max="2306" width="5.140625" style="1" customWidth="1"/>
    <col min="2307" max="2307" width="25.85546875" style="1" customWidth="1"/>
    <col min="2308" max="2308" width="15.85546875" style="1" customWidth="1"/>
    <col min="2309" max="2309" width="14.5703125" style="1" customWidth="1"/>
    <col min="2310" max="2310" width="15" style="1" customWidth="1"/>
    <col min="2311" max="2311" width="11.140625" style="1" customWidth="1"/>
    <col min="2312" max="2312" width="17" style="1" customWidth="1"/>
    <col min="2313" max="2313" width="15.42578125" style="1" customWidth="1"/>
    <col min="2314" max="2315" width="15.140625" style="1" customWidth="1"/>
    <col min="2316" max="2560" width="9.140625" style="1"/>
    <col min="2561" max="2561" width="0" style="1" hidden="1" customWidth="1"/>
    <col min="2562" max="2562" width="5.140625" style="1" customWidth="1"/>
    <col min="2563" max="2563" width="25.85546875" style="1" customWidth="1"/>
    <col min="2564" max="2564" width="15.85546875" style="1" customWidth="1"/>
    <col min="2565" max="2565" width="14.5703125" style="1" customWidth="1"/>
    <col min="2566" max="2566" width="15" style="1" customWidth="1"/>
    <col min="2567" max="2567" width="11.140625" style="1" customWidth="1"/>
    <col min="2568" max="2568" width="17" style="1" customWidth="1"/>
    <col min="2569" max="2569" width="15.42578125" style="1" customWidth="1"/>
    <col min="2570" max="2571" width="15.140625" style="1" customWidth="1"/>
    <col min="2572" max="2816" width="9.140625" style="1"/>
    <col min="2817" max="2817" width="0" style="1" hidden="1" customWidth="1"/>
    <col min="2818" max="2818" width="5.140625" style="1" customWidth="1"/>
    <col min="2819" max="2819" width="25.85546875" style="1" customWidth="1"/>
    <col min="2820" max="2820" width="15.85546875" style="1" customWidth="1"/>
    <col min="2821" max="2821" width="14.5703125" style="1" customWidth="1"/>
    <col min="2822" max="2822" width="15" style="1" customWidth="1"/>
    <col min="2823" max="2823" width="11.140625" style="1" customWidth="1"/>
    <col min="2824" max="2824" width="17" style="1" customWidth="1"/>
    <col min="2825" max="2825" width="15.42578125" style="1" customWidth="1"/>
    <col min="2826" max="2827" width="15.140625" style="1" customWidth="1"/>
    <col min="2828" max="3072" width="9.140625" style="1"/>
    <col min="3073" max="3073" width="0" style="1" hidden="1" customWidth="1"/>
    <col min="3074" max="3074" width="5.140625" style="1" customWidth="1"/>
    <col min="3075" max="3075" width="25.85546875" style="1" customWidth="1"/>
    <col min="3076" max="3076" width="15.85546875" style="1" customWidth="1"/>
    <col min="3077" max="3077" width="14.5703125" style="1" customWidth="1"/>
    <col min="3078" max="3078" width="15" style="1" customWidth="1"/>
    <col min="3079" max="3079" width="11.140625" style="1" customWidth="1"/>
    <col min="3080" max="3080" width="17" style="1" customWidth="1"/>
    <col min="3081" max="3081" width="15.42578125" style="1" customWidth="1"/>
    <col min="3082" max="3083" width="15.140625" style="1" customWidth="1"/>
    <col min="3084" max="3328" width="9.140625" style="1"/>
    <col min="3329" max="3329" width="0" style="1" hidden="1" customWidth="1"/>
    <col min="3330" max="3330" width="5.140625" style="1" customWidth="1"/>
    <col min="3331" max="3331" width="25.85546875" style="1" customWidth="1"/>
    <col min="3332" max="3332" width="15.85546875" style="1" customWidth="1"/>
    <col min="3333" max="3333" width="14.5703125" style="1" customWidth="1"/>
    <col min="3334" max="3334" width="15" style="1" customWidth="1"/>
    <col min="3335" max="3335" width="11.140625" style="1" customWidth="1"/>
    <col min="3336" max="3336" width="17" style="1" customWidth="1"/>
    <col min="3337" max="3337" width="15.42578125" style="1" customWidth="1"/>
    <col min="3338" max="3339" width="15.140625" style="1" customWidth="1"/>
    <col min="3340" max="3584" width="9.140625" style="1"/>
    <col min="3585" max="3585" width="0" style="1" hidden="1" customWidth="1"/>
    <col min="3586" max="3586" width="5.140625" style="1" customWidth="1"/>
    <col min="3587" max="3587" width="25.85546875" style="1" customWidth="1"/>
    <col min="3588" max="3588" width="15.85546875" style="1" customWidth="1"/>
    <col min="3589" max="3589" width="14.5703125" style="1" customWidth="1"/>
    <col min="3590" max="3590" width="15" style="1" customWidth="1"/>
    <col min="3591" max="3591" width="11.140625" style="1" customWidth="1"/>
    <col min="3592" max="3592" width="17" style="1" customWidth="1"/>
    <col min="3593" max="3593" width="15.42578125" style="1" customWidth="1"/>
    <col min="3594" max="3595" width="15.140625" style="1" customWidth="1"/>
    <col min="3596" max="3840" width="9.140625" style="1"/>
    <col min="3841" max="3841" width="0" style="1" hidden="1" customWidth="1"/>
    <col min="3842" max="3842" width="5.140625" style="1" customWidth="1"/>
    <col min="3843" max="3843" width="25.85546875" style="1" customWidth="1"/>
    <col min="3844" max="3844" width="15.85546875" style="1" customWidth="1"/>
    <col min="3845" max="3845" width="14.5703125" style="1" customWidth="1"/>
    <col min="3846" max="3846" width="15" style="1" customWidth="1"/>
    <col min="3847" max="3847" width="11.140625" style="1" customWidth="1"/>
    <col min="3848" max="3848" width="17" style="1" customWidth="1"/>
    <col min="3849" max="3849" width="15.42578125" style="1" customWidth="1"/>
    <col min="3850" max="3851" width="15.140625" style="1" customWidth="1"/>
    <col min="3852" max="4096" width="9.140625" style="1"/>
    <col min="4097" max="4097" width="0" style="1" hidden="1" customWidth="1"/>
    <col min="4098" max="4098" width="5.140625" style="1" customWidth="1"/>
    <col min="4099" max="4099" width="25.85546875" style="1" customWidth="1"/>
    <col min="4100" max="4100" width="15.85546875" style="1" customWidth="1"/>
    <col min="4101" max="4101" width="14.5703125" style="1" customWidth="1"/>
    <col min="4102" max="4102" width="15" style="1" customWidth="1"/>
    <col min="4103" max="4103" width="11.140625" style="1" customWidth="1"/>
    <col min="4104" max="4104" width="17" style="1" customWidth="1"/>
    <col min="4105" max="4105" width="15.42578125" style="1" customWidth="1"/>
    <col min="4106" max="4107" width="15.140625" style="1" customWidth="1"/>
    <col min="4108" max="4352" width="9.140625" style="1"/>
    <col min="4353" max="4353" width="0" style="1" hidden="1" customWidth="1"/>
    <col min="4354" max="4354" width="5.140625" style="1" customWidth="1"/>
    <col min="4355" max="4355" width="25.85546875" style="1" customWidth="1"/>
    <col min="4356" max="4356" width="15.85546875" style="1" customWidth="1"/>
    <col min="4357" max="4357" width="14.5703125" style="1" customWidth="1"/>
    <col min="4358" max="4358" width="15" style="1" customWidth="1"/>
    <col min="4359" max="4359" width="11.140625" style="1" customWidth="1"/>
    <col min="4360" max="4360" width="17" style="1" customWidth="1"/>
    <col min="4361" max="4361" width="15.42578125" style="1" customWidth="1"/>
    <col min="4362" max="4363" width="15.140625" style="1" customWidth="1"/>
    <col min="4364" max="4608" width="9.140625" style="1"/>
    <col min="4609" max="4609" width="0" style="1" hidden="1" customWidth="1"/>
    <col min="4610" max="4610" width="5.140625" style="1" customWidth="1"/>
    <col min="4611" max="4611" width="25.85546875" style="1" customWidth="1"/>
    <col min="4612" max="4612" width="15.85546875" style="1" customWidth="1"/>
    <col min="4613" max="4613" width="14.5703125" style="1" customWidth="1"/>
    <col min="4614" max="4614" width="15" style="1" customWidth="1"/>
    <col min="4615" max="4615" width="11.140625" style="1" customWidth="1"/>
    <col min="4616" max="4616" width="17" style="1" customWidth="1"/>
    <col min="4617" max="4617" width="15.42578125" style="1" customWidth="1"/>
    <col min="4618" max="4619" width="15.140625" style="1" customWidth="1"/>
    <col min="4620" max="4864" width="9.140625" style="1"/>
    <col min="4865" max="4865" width="0" style="1" hidden="1" customWidth="1"/>
    <col min="4866" max="4866" width="5.140625" style="1" customWidth="1"/>
    <col min="4867" max="4867" width="25.85546875" style="1" customWidth="1"/>
    <col min="4868" max="4868" width="15.85546875" style="1" customWidth="1"/>
    <col min="4869" max="4869" width="14.5703125" style="1" customWidth="1"/>
    <col min="4870" max="4870" width="15" style="1" customWidth="1"/>
    <col min="4871" max="4871" width="11.140625" style="1" customWidth="1"/>
    <col min="4872" max="4872" width="17" style="1" customWidth="1"/>
    <col min="4873" max="4873" width="15.42578125" style="1" customWidth="1"/>
    <col min="4874" max="4875" width="15.140625" style="1" customWidth="1"/>
    <col min="4876" max="5120" width="9.140625" style="1"/>
    <col min="5121" max="5121" width="0" style="1" hidden="1" customWidth="1"/>
    <col min="5122" max="5122" width="5.140625" style="1" customWidth="1"/>
    <col min="5123" max="5123" width="25.85546875" style="1" customWidth="1"/>
    <col min="5124" max="5124" width="15.85546875" style="1" customWidth="1"/>
    <col min="5125" max="5125" width="14.5703125" style="1" customWidth="1"/>
    <col min="5126" max="5126" width="15" style="1" customWidth="1"/>
    <col min="5127" max="5127" width="11.140625" style="1" customWidth="1"/>
    <col min="5128" max="5128" width="17" style="1" customWidth="1"/>
    <col min="5129" max="5129" width="15.42578125" style="1" customWidth="1"/>
    <col min="5130" max="5131" width="15.140625" style="1" customWidth="1"/>
    <col min="5132" max="5376" width="9.140625" style="1"/>
    <col min="5377" max="5377" width="0" style="1" hidden="1" customWidth="1"/>
    <col min="5378" max="5378" width="5.140625" style="1" customWidth="1"/>
    <col min="5379" max="5379" width="25.85546875" style="1" customWidth="1"/>
    <col min="5380" max="5380" width="15.85546875" style="1" customWidth="1"/>
    <col min="5381" max="5381" width="14.5703125" style="1" customWidth="1"/>
    <col min="5382" max="5382" width="15" style="1" customWidth="1"/>
    <col min="5383" max="5383" width="11.140625" style="1" customWidth="1"/>
    <col min="5384" max="5384" width="17" style="1" customWidth="1"/>
    <col min="5385" max="5385" width="15.42578125" style="1" customWidth="1"/>
    <col min="5386" max="5387" width="15.140625" style="1" customWidth="1"/>
    <col min="5388" max="5632" width="9.140625" style="1"/>
    <col min="5633" max="5633" width="0" style="1" hidden="1" customWidth="1"/>
    <col min="5634" max="5634" width="5.140625" style="1" customWidth="1"/>
    <col min="5635" max="5635" width="25.85546875" style="1" customWidth="1"/>
    <col min="5636" max="5636" width="15.85546875" style="1" customWidth="1"/>
    <col min="5637" max="5637" width="14.5703125" style="1" customWidth="1"/>
    <col min="5638" max="5638" width="15" style="1" customWidth="1"/>
    <col min="5639" max="5639" width="11.140625" style="1" customWidth="1"/>
    <col min="5640" max="5640" width="17" style="1" customWidth="1"/>
    <col min="5641" max="5641" width="15.42578125" style="1" customWidth="1"/>
    <col min="5642" max="5643" width="15.140625" style="1" customWidth="1"/>
    <col min="5644" max="5888" width="9.140625" style="1"/>
    <col min="5889" max="5889" width="0" style="1" hidden="1" customWidth="1"/>
    <col min="5890" max="5890" width="5.140625" style="1" customWidth="1"/>
    <col min="5891" max="5891" width="25.85546875" style="1" customWidth="1"/>
    <col min="5892" max="5892" width="15.85546875" style="1" customWidth="1"/>
    <col min="5893" max="5893" width="14.5703125" style="1" customWidth="1"/>
    <col min="5894" max="5894" width="15" style="1" customWidth="1"/>
    <col min="5895" max="5895" width="11.140625" style="1" customWidth="1"/>
    <col min="5896" max="5896" width="17" style="1" customWidth="1"/>
    <col min="5897" max="5897" width="15.42578125" style="1" customWidth="1"/>
    <col min="5898" max="5899" width="15.140625" style="1" customWidth="1"/>
    <col min="5900" max="6144" width="9.140625" style="1"/>
    <col min="6145" max="6145" width="0" style="1" hidden="1" customWidth="1"/>
    <col min="6146" max="6146" width="5.140625" style="1" customWidth="1"/>
    <col min="6147" max="6147" width="25.85546875" style="1" customWidth="1"/>
    <col min="6148" max="6148" width="15.85546875" style="1" customWidth="1"/>
    <col min="6149" max="6149" width="14.5703125" style="1" customWidth="1"/>
    <col min="6150" max="6150" width="15" style="1" customWidth="1"/>
    <col min="6151" max="6151" width="11.140625" style="1" customWidth="1"/>
    <col min="6152" max="6152" width="17" style="1" customWidth="1"/>
    <col min="6153" max="6153" width="15.42578125" style="1" customWidth="1"/>
    <col min="6154" max="6155" width="15.140625" style="1" customWidth="1"/>
    <col min="6156" max="6400" width="9.140625" style="1"/>
    <col min="6401" max="6401" width="0" style="1" hidden="1" customWidth="1"/>
    <col min="6402" max="6402" width="5.140625" style="1" customWidth="1"/>
    <col min="6403" max="6403" width="25.85546875" style="1" customWidth="1"/>
    <col min="6404" max="6404" width="15.85546875" style="1" customWidth="1"/>
    <col min="6405" max="6405" width="14.5703125" style="1" customWidth="1"/>
    <col min="6406" max="6406" width="15" style="1" customWidth="1"/>
    <col min="6407" max="6407" width="11.140625" style="1" customWidth="1"/>
    <col min="6408" max="6408" width="17" style="1" customWidth="1"/>
    <col min="6409" max="6409" width="15.42578125" style="1" customWidth="1"/>
    <col min="6410" max="6411" width="15.140625" style="1" customWidth="1"/>
    <col min="6412" max="6656" width="9.140625" style="1"/>
    <col min="6657" max="6657" width="0" style="1" hidden="1" customWidth="1"/>
    <col min="6658" max="6658" width="5.140625" style="1" customWidth="1"/>
    <col min="6659" max="6659" width="25.85546875" style="1" customWidth="1"/>
    <col min="6660" max="6660" width="15.85546875" style="1" customWidth="1"/>
    <col min="6661" max="6661" width="14.5703125" style="1" customWidth="1"/>
    <col min="6662" max="6662" width="15" style="1" customWidth="1"/>
    <col min="6663" max="6663" width="11.140625" style="1" customWidth="1"/>
    <col min="6664" max="6664" width="17" style="1" customWidth="1"/>
    <col min="6665" max="6665" width="15.42578125" style="1" customWidth="1"/>
    <col min="6666" max="6667" width="15.140625" style="1" customWidth="1"/>
    <col min="6668" max="6912" width="9.140625" style="1"/>
    <col min="6913" max="6913" width="0" style="1" hidden="1" customWidth="1"/>
    <col min="6914" max="6914" width="5.140625" style="1" customWidth="1"/>
    <col min="6915" max="6915" width="25.85546875" style="1" customWidth="1"/>
    <col min="6916" max="6916" width="15.85546875" style="1" customWidth="1"/>
    <col min="6917" max="6917" width="14.5703125" style="1" customWidth="1"/>
    <col min="6918" max="6918" width="15" style="1" customWidth="1"/>
    <col min="6919" max="6919" width="11.140625" style="1" customWidth="1"/>
    <col min="6920" max="6920" width="17" style="1" customWidth="1"/>
    <col min="6921" max="6921" width="15.42578125" style="1" customWidth="1"/>
    <col min="6922" max="6923" width="15.140625" style="1" customWidth="1"/>
    <col min="6924" max="7168" width="9.140625" style="1"/>
    <col min="7169" max="7169" width="0" style="1" hidden="1" customWidth="1"/>
    <col min="7170" max="7170" width="5.140625" style="1" customWidth="1"/>
    <col min="7171" max="7171" width="25.85546875" style="1" customWidth="1"/>
    <col min="7172" max="7172" width="15.85546875" style="1" customWidth="1"/>
    <col min="7173" max="7173" width="14.5703125" style="1" customWidth="1"/>
    <col min="7174" max="7174" width="15" style="1" customWidth="1"/>
    <col min="7175" max="7175" width="11.140625" style="1" customWidth="1"/>
    <col min="7176" max="7176" width="17" style="1" customWidth="1"/>
    <col min="7177" max="7177" width="15.42578125" style="1" customWidth="1"/>
    <col min="7178" max="7179" width="15.140625" style="1" customWidth="1"/>
    <col min="7180" max="7424" width="9.140625" style="1"/>
    <col min="7425" max="7425" width="0" style="1" hidden="1" customWidth="1"/>
    <col min="7426" max="7426" width="5.140625" style="1" customWidth="1"/>
    <col min="7427" max="7427" width="25.85546875" style="1" customWidth="1"/>
    <col min="7428" max="7428" width="15.85546875" style="1" customWidth="1"/>
    <col min="7429" max="7429" width="14.5703125" style="1" customWidth="1"/>
    <col min="7430" max="7430" width="15" style="1" customWidth="1"/>
    <col min="7431" max="7431" width="11.140625" style="1" customWidth="1"/>
    <col min="7432" max="7432" width="17" style="1" customWidth="1"/>
    <col min="7433" max="7433" width="15.42578125" style="1" customWidth="1"/>
    <col min="7434" max="7435" width="15.140625" style="1" customWidth="1"/>
    <col min="7436" max="7680" width="9.140625" style="1"/>
    <col min="7681" max="7681" width="0" style="1" hidden="1" customWidth="1"/>
    <col min="7682" max="7682" width="5.140625" style="1" customWidth="1"/>
    <col min="7683" max="7683" width="25.85546875" style="1" customWidth="1"/>
    <col min="7684" max="7684" width="15.85546875" style="1" customWidth="1"/>
    <col min="7685" max="7685" width="14.5703125" style="1" customWidth="1"/>
    <col min="7686" max="7686" width="15" style="1" customWidth="1"/>
    <col min="7687" max="7687" width="11.140625" style="1" customWidth="1"/>
    <col min="7688" max="7688" width="17" style="1" customWidth="1"/>
    <col min="7689" max="7689" width="15.42578125" style="1" customWidth="1"/>
    <col min="7690" max="7691" width="15.140625" style="1" customWidth="1"/>
    <col min="7692" max="7936" width="9.140625" style="1"/>
    <col min="7937" max="7937" width="0" style="1" hidden="1" customWidth="1"/>
    <col min="7938" max="7938" width="5.140625" style="1" customWidth="1"/>
    <col min="7939" max="7939" width="25.85546875" style="1" customWidth="1"/>
    <col min="7940" max="7940" width="15.85546875" style="1" customWidth="1"/>
    <col min="7941" max="7941" width="14.5703125" style="1" customWidth="1"/>
    <col min="7942" max="7942" width="15" style="1" customWidth="1"/>
    <col min="7943" max="7943" width="11.140625" style="1" customWidth="1"/>
    <col min="7944" max="7944" width="17" style="1" customWidth="1"/>
    <col min="7945" max="7945" width="15.42578125" style="1" customWidth="1"/>
    <col min="7946" max="7947" width="15.140625" style="1" customWidth="1"/>
    <col min="7948" max="8192" width="9.140625" style="1"/>
    <col min="8193" max="8193" width="0" style="1" hidden="1" customWidth="1"/>
    <col min="8194" max="8194" width="5.140625" style="1" customWidth="1"/>
    <col min="8195" max="8195" width="25.85546875" style="1" customWidth="1"/>
    <col min="8196" max="8196" width="15.85546875" style="1" customWidth="1"/>
    <col min="8197" max="8197" width="14.5703125" style="1" customWidth="1"/>
    <col min="8198" max="8198" width="15" style="1" customWidth="1"/>
    <col min="8199" max="8199" width="11.140625" style="1" customWidth="1"/>
    <col min="8200" max="8200" width="17" style="1" customWidth="1"/>
    <col min="8201" max="8201" width="15.42578125" style="1" customWidth="1"/>
    <col min="8202" max="8203" width="15.140625" style="1" customWidth="1"/>
    <col min="8204" max="8448" width="9.140625" style="1"/>
    <col min="8449" max="8449" width="0" style="1" hidden="1" customWidth="1"/>
    <col min="8450" max="8450" width="5.140625" style="1" customWidth="1"/>
    <col min="8451" max="8451" width="25.85546875" style="1" customWidth="1"/>
    <col min="8452" max="8452" width="15.85546875" style="1" customWidth="1"/>
    <col min="8453" max="8453" width="14.5703125" style="1" customWidth="1"/>
    <col min="8454" max="8454" width="15" style="1" customWidth="1"/>
    <col min="8455" max="8455" width="11.140625" style="1" customWidth="1"/>
    <col min="8456" max="8456" width="17" style="1" customWidth="1"/>
    <col min="8457" max="8457" width="15.42578125" style="1" customWidth="1"/>
    <col min="8458" max="8459" width="15.140625" style="1" customWidth="1"/>
    <col min="8460" max="8704" width="9.140625" style="1"/>
    <col min="8705" max="8705" width="0" style="1" hidden="1" customWidth="1"/>
    <col min="8706" max="8706" width="5.140625" style="1" customWidth="1"/>
    <col min="8707" max="8707" width="25.85546875" style="1" customWidth="1"/>
    <col min="8708" max="8708" width="15.85546875" style="1" customWidth="1"/>
    <col min="8709" max="8709" width="14.5703125" style="1" customWidth="1"/>
    <col min="8710" max="8710" width="15" style="1" customWidth="1"/>
    <col min="8711" max="8711" width="11.140625" style="1" customWidth="1"/>
    <col min="8712" max="8712" width="17" style="1" customWidth="1"/>
    <col min="8713" max="8713" width="15.42578125" style="1" customWidth="1"/>
    <col min="8714" max="8715" width="15.140625" style="1" customWidth="1"/>
    <col min="8716" max="8960" width="9.140625" style="1"/>
    <col min="8961" max="8961" width="0" style="1" hidden="1" customWidth="1"/>
    <col min="8962" max="8962" width="5.140625" style="1" customWidth="1"/>
    <col min="8963" max="8963" width="25.85546875" style="1" customWidth="1"/>
    <col min="8964" max="8964" width="15.85546875" style="1" customWidth="1"/>
    <col min="8965" max="8965" width="14.5703125" style="1" customWidth="1"/>
    <col min="8966" max="8966" width="15" style="1" customWidth="1"/>
    <col min="8967" max="8967" width="11.140625" style="1" customWidth="1"/>
    <col min="8968" max="8968" width="17" style="1" customWidth="1"/>
    <col min="8969" max="8969" width="15.42578125" style="1" customWidth="1"/>
    <col min="8970" max="8971" width="15.140625" style="1" customWidth="1"/>
    <col min="8972" max="9216" width="9.140625" style="1"/>
    <col min="9217" max="9217" width="0" style="1" hidden="1" customWidth="1"/>
    <col min="9218" max="9218" width="5.140625" style="1" customWidth="1"/>
    <col min="9219" max="9219" width="25.85546875" style="1" customWidth="1"/>
    <col min="9220" max="9220" width="15.85546875" style="1" customWidth="1"/>
    <col min="9221" max="9221" width="14.5703125" style="1" customWidth="1"/>
    <col min="9222" max="9222" width="15" style="1" customWidth="1"/>
    <col min="9223" max="9223" width="11.140625" style="1" customWidth="1"/>
    <col min="9224" max="9224" width="17" style="1" customWidth="1"/>
    <col min="9225" max="9225" width="15.42578125" style="1" customWidth="1"/>
    <col min="9226" max="9227" width="15.140625" style="1" customWidth="1"/>
    <col min="9228" max="9472" width="9.140625" style="1"/>
    <col min="9473" max="9473" width="0" style="1" hidden="1" customWidth="1"/>
    <col min="9474" max="9474" width="5.140625" style="1" customWidth="1"/>
    <col min="9475" max="9475" width="25.85546875" style="1" customWidth="1"/>
    <col min="9476" max="9476" width="15.85546875" style="1" customWidth="1"/>
    <col min="9477" max="9477" width="14.5703125" style="1" customWidth="1"/>
    <col min="9478" max="9478" width="15" style="1" customWidth="1"/>
    <col min="9479" max="9479" width="11.140625" style="1" customWidth="1"/>
    <col min="9480" max="9480" width="17" style="1" customWidth="1"/>
    <col min="9481" max="9481" width="15.42578125" style="1" customWidth="1"/>
    <col min="9482" max="9483" width="15.140625" style="1" customWidth="1"/>
    <col min="9484" max="9728" width="9.140625" style="1"/>
    <col min="9729" max="9729" width="0" style="1" hidden="1" customWidth="1"/>
    <col min="9730" max="9730" width="5.140625" style="1" customWidth="1"/>
    <col min="9731" max="9731" width="25.85546875" style="1" customWidth="1"/>
    <col min="9732" max="9732" width="15.85546875" style="1" customWidth="1"/>
    <col min="9733" max="9733" width="14.5703125" style="1" customWidth="1"/>
    <col min="9734" max="9734" width="15" style="1" customWidth="1"/>
    <col min="9735" max="9735" width="11.140625" style="1" customWidth="1"/>
    <col min="9736" max="9736" width="17" style="1" customWidth="1"/>
    <col min="9737" max="9737" width="15.42578125" style="1" customWidth="1"/>
    <col min="9738" max="9739" width="15.140625" style="1" customWidth="1"/>
    <col min="9740" max="9984" width="9.140625" style="1"/>
    <col min="9985" max="9985" width="0" style="1" hidden="1" customWidth="1"/>
    <col min="9986" max="9986" width="5.140625" style="1" customWidth="1"/>
    <col min="9987" max="9987" width="25.85546875" style="1" customWidth="1"/>
    <col min="9988" max="9988" width="15.85546875" style="1" customWidth="1"/>
    <col min="9989" max="9989" width="14.5703125" style="1" customWidth="1"/>
    <col min="9990" max="9990" width="15" style="1" customWidth="1"/>
    <col min="9991" max="9991" width="11.140625" style="1" customWidth="1"/>
    <col min="9992" max="9992" width="17" style="1" customWidth="1"/>
    <col min="9993" max="9993" width="15.42578125" style="1" customWidth="1"/>
    <col min="9994" max="9995" width="15.140625" style="1" customWidth="1"/>
    <col min="9996" max="10240" width="9.140625" style="1"/>
    <col min="10241" max="10241" width="0" style="1" hidden="1" customWidth="1"/>
    <col min="10242" max="10242" width="5.140625" style="1" customWidth="1"/>
    <col min="10243" max="10243" width="25.85546875" style="1" customWidth="1"/>
    <col min="10244" max="10244" width="15.85546875" style="1" customWidth="1"/>
    <col min="10245" max="10245" width="14.5703125" style="1" customWidth="1"/>
    <col min="10246" max="10246" width="15" style="1" customWidth="1"/>
    <col min="10247" max="10247" width="11.140625" style="1" customWidth="1"/>
    <col min="10248" max="10248" width="17" style="1" customWidth="1"/>
    <col min="10249" max="10249" width="15.42578125" style="1" customWidth="1"/>
    <col min="10250" max="10251" width="15.140625" style="1" customWidth="1"/>
    <col min="10252" max="10496" width="9.140625" style="1"/>
    <col min="10497" max="10497" width="0" style="1" hidden="1" customWidth="1"/>
    <col min="10498" max="10498" width="5.140625" style="1" customWidth="1"/>
    <col min="10499" max="10499" width="25.85546875" style="1" customWidth="1"/>
    <col min="10500" max="10500" width="15.85546875" style="1" customWidth="1"/>
    <col min="10501" max="10501" width="14.5703125" style="1" customWidth="1"/>
    <col min="10502" max="10502" width="15" style="1" customWidth="1"/>
    <col min="10503" max="10503" width="11.140625" style="1" customWidth="1"/>
    <col min="10504" max="10504" width="17" style="1" customWidth="1"/>
    <col min="10505" max="10505" width="15.42578125" style="1" customWidth="1"/>
    <col min="10506" max="10507" width="15.140625" style="1" customWidth="1"/>
    <col min="10508" max="10752" width="9.140625" style="1"/>
    <col min="10753" max="10753" width="0" style="1" hidden="1" customWidth="1"/>
    <col min="10754" max="10754" width="5.140625" style="1" customWidth="1"/>
    <col min="10755" max="10755" width="25.85546875" style="1" customWidth="1"/>
    <col min="10756" max="10756" width="15.85546875" style="1" customWidth="1"/>
    <col min="10757" max="10757" width="14.5703125" style="1" customWidth="1"/>
    <col min="10758" max="10758" width="15" style="1" customWidth="1"/>
    <col min="10759" max="10759" width="11.140625" style="1" customWidth="1"/>
    <col min="10760" max="10760" width="17" style="1" customWidth="1"/>
    <col min="10761" max="10761" width="15.42578125" style="1" customWidth="1"/>
    <col min="10762" max="10763" width="15.140625" style="1" customWidth="1"/>
    <col min="10764" max="11008" width="9.140625" style="1"/>
    <col min="11009" max="11009" width="0" style="1" hidden="1" customWidth="1"/>
    <col min="11010" max="11010" width="5.140625" style="1" customWidth="1"/>
    <col min="11011" max="11011" width="25.85546875" style="1" customWidth="1"/>
    <col min="11012" max="11012" width="15.85546875" style="1" customWidth="1"/>
    <col min="11013" max="11013" width="14.5703125" style="1" customWidth="1"/>
    <col min="11014" max="11014" width="15" style="1" customWidth="1"/>
    <col min="11015" max="11015" width="11.140625" style="1" customWidth="1"/>
    <col min="11016" max="11016" width="17" style="1" customWidth="1"/>
    <col min="11017" max="11017" width="15.42578125" style="1" customWidth="1"/>
    <col min="11018" max="11019" width="15.140625" style="1" customWidth="1"/>
    <col min="11020" max="11264" width="9.140625" style="1"/>
    <col min="11265" max="11265" width="0" style="1" hidden="1" customWidth="1"/>
    <col min="11266" max="11266" width="5.140625" style="1" customWidth="1"/>
    <col min="11267" max="11267" width="25.85546875" style="1" customWidth="1"/>
    <col min="11268" max="11268" width="15.85546875" style="1" customWidth="1"/>
    <col min="11269" max="11269" width="14.5703125" style="1" customWidth="1"/>
    <col min="11270" max="11270" width="15" style="1" customWidth="1"/>
    <col min="11271" max="11271" width="11.140625" style="1" customWidth="1"/>
    <col min="11272" max="11272" width="17" style="1" customWidth="1"/>
    <col min="11273" max="11273" width="15.42578125" style="1" customWidth="1"/>
    <col min="11274" max="11275" width="15.140625" style="1" customWidth="1"/>
    <col min="11276" max="11520" width="9.140625" style="1"/>
    <col min="11521" max="11521" width="0" style="1" hidden="1" customWidth="1"/>
    <col min="11522" max="11522" width="5.140625" style="1" customWidth="1"/>
    <col min="11523" max="11523" width="25.85546875" style="1" customWidth="1"/>
    <col min="11524" max="11524" width="15.85546875" style="1" customWidth="1"/>
    <col min="11525" max="11525" width="14.5703125" style="1" customWidth="1"/>
    <col min="11526" max="11526" width="15" style="1" customWidth="1"/>
    <col min="11527" max="11527" width="11.140625" style="1" customWidth="1"/>
    <col min="11528" max="11528" width="17" style="1" customWidth="1"/>
    <col min="11529" max="11529" width="15.42578125" style="1" customWidth="1"/>
    <col min="11530" max="11531" width="15.140625" style="1" customWidth="1"/>
    <col min="11532" max="11776" width="9.140625" style="1"/>
    <col min="11777" max="11777" width="0" style="1" hidden="1" customWidth="1"/>
    <col min="11778" max="11778" width="5.140625" style="1" customWidth="1"/>
    <col min="11779" max="11779" width="25.85546875" style="1" customWidth="1"/>
    <col min="11780" max="11780" width="15.85546875" style="1" customWidth="1"/>
    <col min="11781" max="11781" width="14.5703125" style="1" customWidth="1"/>
    <col min="11782" max="11782" width="15" style="1" customWidth="1"/>
    <col min="11783" max="11783" width="11.140625" style="1" customWidth="1"/>
    <col min="11784" max="11784" width="17" style="1" customWidth="1"/>
    <col min="11785" max="11785" width="15.42578125" style="1" customWidth="1"/>
    <col min="11786" max="11787" width="15.140625" style="1" customWidth="1"/>
    <col min="11788" max="12032" width="9.140625" style="1"/>
    <col min="12033" max="12033" width="0" style="1" hidden="1" customWidth="1"/>
    <col min="12034" max="12034" width="5.140625" style="1" customWidth="1"/>
    <col min="12035" max="12035" width="25.85546875" style="1" customWidth="1"/>
    <col min="12036" max="12036" width="15.85546875" style="1" customWidth="1"/>
    <col min="12037" max="12037" width="14.5703125" style="1" customWidth="1"/>
    <col min="12038" max="12038" width="15" style="1" customWidth="1"/>
    <col min="12039" max="12039" width="11.140625" style="1" customWidth="1"/>
    <col min="12040" max="12040" width="17" style="1" customWidth="1"/>
    <col min="12041" max="12041" width="15.42578125" style="1" customWidth="1"/>
    <col min="12042" max="12043" width="15.140625" style="1" customWidth="1"/>
    <col min="12044" max="12288" width="9.140625" style="1"/>
    <col min="12289" max="12289" width="0" style="1" hidden="1" customWidth="1"/>
    <col min="12290" max="12290" width="5.140625" style="1" customWidth="1"/>
    <col min="12291" max="12291" width="25.85546875" style="1" customWidth="1"/>
    <col min="12292" max="12292" width="15.85546875" style="1" customWidth="1"/>
    <col min="12293" max="12293" width="14.5703125" style="1" customWidth="1"/>
    <col min="12294" max="12294" width="15" style="1" customWidth="1"/>
    <col min="12295" max="12295" width="11.140625" style="1" customWidth="1"/>
    <col min="12296" max="12296" width="17" style="1" customWidth="1"/>
    <col min="12297" max="12297" width="15.42578125" style="1" customWidth="1"/>
    <col min="12298" max="12299" width="15.140625" style="1" customWidth="1"/>
    <col min="12300" max="12544" width="9.140625" style="1"/>
    <col min="12545" max="12545" width="0" style="1" hidden="1" customWidth="1"/>
    <col min="12546" max="12546" width="5.140625" style="1" customWidth="1"/>
    <col min="12547" max="12547" width="25.85546875" style="1" customWidth="1"/>
    <col min="12548" max="12548" width="15.85546875" style="1" customWidth="1"/>
    <col min="12549" max="12549" width="14.5703125" style="1" customWidth="1"/>
    <col min="12550" max="12550" width="15" style="1" customWidth="1"/>
    <col min="12551" max="12551" width="11.140625" style="1" customWidth="1"/>
    <col min="12552" max="12552" width="17" style="1" customWidth="1"/>
    <col min="12553" max="12553" width="15.42578125" style="1" customWidth="1"/>
    <col min="12554" max="12555" width="15.140625" style="1" customWidth="1"/>
    <col min="12556" max="12800" width="9.140625" style="1"/>
    <col min="12801" max="12801" width="0" style="1" hidden="1" customWidth="1"/>
    <col min="12802" max="12802" width="5.140625" style="1" customWidth="1"/>
    <col min="12803" max="12803" width="25.85546875" style="1" customWidth="1"/>
    <col min="12804" max="12804" width="15.85546875" style="1" customWidth="1"/>
    <col min="12805" max="12805" width="14.5703125" style="1" customWidth="1"/>
    <col min="12806" max="12806" width="15" style="1" customWidth="1"/>
    <col min="12807" max="12807" width="11.140625" style="1" customWidth="1"/>
    <col min="12808" max="12808" width="17" style="1" customWidth="1"/>
    <col min="12809" max="12809" width="15.42578125" style="1" customWidth="1"/>
    <col min="12810" max="12811" width="15.140625" style="1" customWidth="1"/>
    <col min="12812" max="13056" width="9.140625" style="1"/>
    <col min="13057" max="13057" width="0" style="1" hidden="1" customWidth="1"/>
    <col min="13058" max="13058" width="5.140625" style="1" customWidth="1"/>
    <col min="13059" max="13059" width="25.85546875" style="1" customWidth="1"/>
    <col min="13060" max="13060" width="15.85546875" style="1" customWidth="1"/>
    <col min="13061" max="13061" width="14.5703125" style="1" customWidth="1"/>
    <col min="13062" max="13062" width="15" style="1" customWidth="1"/>
    <col min="13063" max="13063" width="11.140625" style="1" customWidth="1"/>
    <col min="13064" max="13064" width="17" style="1" customWidth="1"/>
    <col min="13065" max="13065" width="15.42578125" style="1" customWidth="1"/>
    <col min="13066" max="13067" width="15.140625" style="1" customWidth="1"/>
    <col min="13068" max="13312" width="9.140625" style="1"/>
    <col min="13313" max="13313" width="0" style="1" hidden="1" customWidth="1"/>
    <col min="13314" max="13314" width="5.140625" style="1" customWidth="1"/>
    <col min="13315" max="13315" width="25.85546875" style="1" customWidth="1"/>
    <col min="13316" max="13316" width="15.85546875" style="1" customWidth="1"/>
    <col min="13317" max="13317" width="14.5703125" style="1" customWidth="1"/>
    <col min="13318" max="13318" width="15" style="1" customWidth="1"/>
    <col min="13319" max="13319" width="11.140625" style="1" customWidth="1"/>
    <col min="13320" max="13320" width="17" style="1" customWidth="1"/>
    <col min="13321" max="13321" width="15.42578125" style="1" customWidth="1"/>
    <col min="13322" max="13323" width="15.140625" style="1" customWidth="1"/>
    <col min="13324" max="13568" width="9.140625" style="1"/>
    <col min="13569" max="13569" width="0" style="1" hidden="1" customWidth="1"/>
    <col min="13570" max="13570" width="5.140625" style="1" customWidth="1"/>
    <col min="13571" max="13571" width="25.85546875" style="1" customWidth="1"/>
    <col min="13572" max="13572" width="15.85546875" style="1" customWidth="1"/>
    <col min="13573" max="13573" width="14.5703125" style="1" customWidth="1"/>
    <col min="13574" max="13574" width="15" style="1" customWidth="1"/>
    <col min="13575" max="13575" width="11.140625" style="1" customWidth="1"/>
    <col min="13576" max="13576" width="17" style="1" customWidth="1"/>
    <col min="13577" max="13577" width="15.42578125" style="1" customWidth="1"/>
    <col min="13578" max="13579" width="15.140625" style="1" customWidth="1"/>
    <col min="13580" max="13824" width="9.140625" style="1"/>
    <col min="13825" max="13825" width="0" style="1" hidden="1" customWidth="1"/>
    <col min="13826" max="13826" width="5.140625" style="1" customWidth="1"/>
    <col min="13827" max="13827" width="25.85546875" style="1" customWidth="1"/>
    <col min="13828" max="13828" width="15.85546875" style="1" customWidth="1"/>
    <col min="13829" max="13829" width="14.5703125" style="1" customWidth="1"/>
    <col min="13830" max="13830" width="15" style="1" customWidth="1"/>
    <col min="13831" max="13831" width="11.140625" style="1" customWidth="1"/>
    <col min="13832" max="13832" width="17" style="1" customWidth="1"/>
    <col min="13833" max="13833" width="15.42578125" style="1" customWidth="1"/>
    <col min="13834" max="13835" width="15.140625" style="1" customWidth="1"/>
    <col min="13836" max="14080" width="9.140625" style="1"/>
    <col min="14081" max="14081" width="0" style="1" hidden="1" customWidth="1"/>
    <col min="14082" max="14082" width="5.140625" style="1" customWidth="1"/>
    <col min="14083" max="14083" width="25.85546875" style="1" customWidth="1"/>
    <col min="14084" max="14084" width="15.85546875" style="1" customWidth="1"/>
    <col min="14085" max="14085" width="14.5703125" style="1" customWidth="1"/>
    <col min="14086" max="14086" width="15" style="1" customWidth="1"/>
    <col min="14087" max="14087" width="11.140625" style="1" customWidth="1"/>
    <col min="14088" max="14088" width="17" style="1" customWidth="1"/>
    <col min="14089" max="14089" width="15.42578125" style="1" customWidth="1"/>
    <col min="14090" max="14091" width="15.140625" style="1" customWidth="1"/>
    <col min="14092" max="14336" width="9.140625" style="1"/>
    <col min="14337" max="14337" width="0" style="1" hidden="1" customWidth="1"/>
    <col min="14338" max="14338" width="5.140625" style="1" customWidth="1"/>
    <col min="14339" max="14339" width="25.85546875" style="1" customWidth="1"/>
    <col min="14340" max="14340" width="15.85546875" style="1" customWidth="1"/>
    <col min="14341" max="14341" width="14.5703125" style="1" customWidth="1"/>
    <col min="14342" max="14342" width="15" style="1" customWidth="1"/>
    <col min="14343" max="14343" width="11.140625" style="1" customWidth="1"/>
    <col min="14344" max="14344" width="17" style="1" customWidth="1"/>
    <col min="14345" max="14345" width="15.42578125" style="1" customWidth="1"/>
    <col min="14346" max="14347" width="15.140625" style="1" customWidth="1"/>
    <col min="14348" max="14592" width="9.140625" style="1"/>
    <col min="14593" max="14593" width="0" style="1" hidden="1" customWidth="1"/>
    <col min="14594" max="14594" width="5.140625" style="1" customWidth="1"/>
    <col min="14595" max="14595" width="25.85546875" style="1" customWidth="1"/>
    <col min="14596" max="14596" width="15.85546875" style="1" customWidth="1"/>
    <col min="14597" max="14597" width="14.5703125" style="1" customWidth="1"/>
    <col min="14598" max="14598" width="15" style="1" customWidth="1"/>
    <col min="14599" max="14599" width="11.140625" style="1" customWidth="1"/>
    <col min="14600" max="14600" width="17" style="1" customWidth="1"/>
    <col min="14601" max="14601" width="15.42578125" style="1" customWidth="1"/>
    <col min="14602" max="14603" width="15.140625" style="1" customWidth="1"/>
    <col min="14604" max="14848" width="9.140625" style="1"/>
    <col min="14849" max="14849" width="0" style="1" hidden="1" customWidth="1"/>
    <col min="14850" max="14850" width="5.140625" style="1" customWidth="1"/>
    <col min="14851" max="14851" width="25.85546875" style="1" customWidth="1"/>
    <col min="14852" max="14852" width="15.85546875" style="1" customWidth="1"/>
    <col min="14853" max="14853" width="14.5703125" style="1" customWidth="1"/>
    <col min="14854" max="14854" width="15" style="1" customWidth="1"/>
    <col min="14855" max="14855" width="11.140625" style="1" customWidth="1"/>
    <col min="14856" max="14856" width="17" style="1" customWidth="1"/>
    <col min="14857" max="14857" width="15.42578125" style="1" customWidth="1"/>
    <col min="14858" max="14859" width="15.140625" style="1" customWidth="1"/>
    <col min="14860" max="15104" width="9.140625" style="1"/>
    <col min="15105" max="15105" width="0" style="1" hidden="1" customWidth="1"/>
    <col min="15106" max="15106" width="5.140625" style="1" customWidth="1"/>
    <col min="15107" max="15107" width="25.85546875" style="1" customWidth="1"/>
    <col min="15108" max="15108" width="15.85546875" style="1" customWidth="1"/>
    <col min="15109" max="15109" width="14.5703125" style="1" customWidth="1"/>
    <col min="15110" max="15110" width="15" style="1" customWidth="1"/>
    <col min="15111" max="15111" width="11.140625" style="1" customWidth="1"/>
    <col min="15112" max="15112" width="17" style="1" customWidth="1"/>
    <col min="15113" max="15113" width="15.42578125" style="1" customWidth="1"/>
    <col min="15114" max="15115" width="15.140625" style="1" customWidth="1"/>
    <col min="15116" max="15360" width="9.140625" style="1"/>
    <col min="15361" max="15361" width="0" style="1" hidden="1" customWidth="1"/>
    <col min="15362" max="15362" width="5.140625" style="1" customWidth="1"/>
    <col min="15363" max="15363" width="25.85546875" style="1" customWidth="1"/>
    <col min="15364" max="15364" width="15.85546875" style="1" customWidth="1"/>
    <col min="15365" max="15365" width="14.5703125" style="1" customWidth="1"/>
    <col min="15366" max="15366" width="15" style="1" customWidth="1"/>
    <col min="15367" max="15367" width="11.140625" style="1" customWidth="1"/>
    <col min="15368" max="15368" width="17" style="1" customWidth="1"/>
    <col min="15369" max="15369" width="15.42578125" style="1" customWidth="1"/>
    <col min="15370" max="15371" width="15.140625" style="1" customWidth="1"/>
    <col min="15372" max="15616" width="9.140625" style="1"/>
    <col min="15617" max="15617" width="0" style="1" hidden="1" customWidth="1"/>
    <col min="15618" max="15618" width="5.140625" style="1" customWidth="1"/>
    <col min="15619" max="15619" width="25.85546875" style="1" customWidth="1"/>
    <col min="15620" max="15620" width="15.85546875" style="1" customWidth="1"/>
    <col min="15621" max="15621" width="14.5703125" style="1" customWidth="1"/>
    <col min="15622" max="15622" width="15" style="1" customWidth="1"/>
    <col min="15623" max="15623" width="11.140625" style="1" customWidth="1"/>
    <col min="15624" max="15624" width="17" style="1" customWidth="1"/>
    <col min="15625" max="15625" width="15.42578125" style="1" customWidth="1"/>
    <col min="15626" max="15627" width="15.140625" style="1" customWidth="1"/>
    <col min="15628" max="15872" width="9.140625" style="1"/>
    <col min="15873" max="15873" width="0" style="1" hidden="1" customWidth="1"/>
    <col min="15874" max="15874" width="5.140625" style="1" customWidth="1"/>
    <col min="15875" max="15875" width="25.85546875" style="1" customWidth="1"/>
    <col min="15876" max="15876" width="15.85546875" style="1" customWidth="1"/>
    <col min="15877" max="15877" width="14.5703125" style="1" customWidth="1"/>
    <col min="15878" max="15878" width="15" style="1" customWidth="1"/>
    <col min="15879" max="15879" width="11.140625" style="1" customWidth="1"/>
    <col min="15880" max="15880" width="17" style="1" customWidth="1"/>
    <col min="15881" max="15881" width="15.42578125" style="1" customWidth="1"/>
    <col min="15882" max="15883" width="15.140625" style="1" customWidth="1"/>
    <col min="15884" max="16128" width="9.140625" style="1"/>
    <col min="16129" max="16129" width="0" style="1" hidden="1" customWidth="1"/>
    <col min="16130" max="16130" width="5.140625" style="1" customWidth="1"/>
    <col min="16131" max="16131" width="25.85546875" style="1" customWidth="1"/>
    <col min="16132" max="16132" width="15.85546875" style="1" customWidth="1"/>
    <col min="16133" max="16133" width="14.5703125" style="1" customWidth="1"/>
    <col min="16134" max="16134" width="15" style="1" customWidth="1"/>
    <col min="16135" max="16135" width="11.140625" style="1" customWidth="1"/>
    <col min="16136" max="16136" width="17" style="1" customWidth="1"/>
    <col min="16137" max="16137" width="15.42578125" style="1" customWidth="1"/>
    <col min="16138" max="16139" width="15.140625" style="1" customWidth="1"/>
    <col min="16140" max="16384" width="9.140625" style="1"/>
  </cols>
  <sheetData>
    <row r="1" spans="2:14" ht="24" customHeight="1">
      <c r="B1" s="231" t="s">
        <v>5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2:14" ht="24" customHeight="1">
      <c r="B2" s="231" t="s">
        <v>37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2:14" ht="42" customHeight="1">
      <c r="B3" s="232" t="s">
        <v>6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2:14" ht="27.75" customHeight="1">
      <c r="C4" s="2"/>
      <c r="D4" s="233" t="s">
        <v>38</v>
      </c>
      <c r="E4" s="233"/>
      <c r="F4" s="233"/>
      <c r="G4" s="233"/>
      <c r="H4" s="233"/>
      <c r="I4" s="233"/>
      <c r="J4" s="2"/>
    </row>
    <row r="6" spans="2:14" s="5" customFormat="1" ht="89.25" customHeight="1">
      <c r="B6" s="3" t="s">
        <v>0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</v>
      </c>
    </row>
    <row r="7" spans="2:14" ht="29.25" customHeight="1">
      <c r="B7" s="6">
        <v>1</v>
      </c>
      <c r="C7" s="7" t="s">
        <v>15</v>
      </c>
      <c r="D7" s="8">
        <v>1153.2</v>
      </c>
      <c r="E7" s="9" t="s">
        <v>19</v>
      </c>
      <c r="F7" s="10" t="s">
        <v>39</v>
      </c>
      <c r="G7" s="11">
        <v>0</v>
      </c>
      <c r="H7" s="12">
        <f>990000*9</f>
        <v>8910000</v>
      </c>
      <c r="I7" s="11">
        <f>990000*8+990000</f>
        <v>8910000</v>
      </c>
      <c r="J7" s="11">
        <f>+G7+H7-I7</f>
        <v>0</v>
      </c>
      <c r="K7" s="9"/>
      <c r="L7" s="13">
        <v>990000</v>
      </c>
      <c r="M7" s="14"/>
    </row>
    <row r="8" spans="2:14" ht="29.25" customHeight="1">
      <c r="B8" s="6"/>
      <c r="C8" s="7" t="s">
        <v>15</v>
      </c>
      <c r="D8" s="8">
        <v>1153.2</v>
      </c>
      <c r="E8" s="9" t="s">
        <v>19</v>
      </c>
      <c r="F8" s="10" t="s">
        <v>40</v>
      </c>
      <c r="G8" s="11">
        <v>0</v>
      </c>
      <c r="H8" s="12">
        <f>990000*3</f>
        <v>2970000</v>
      </c>
      <c r="I8" s="11">
        <f>990000+990000+990000</f>
        <v>2970000</v>
      </c>
      <c r="J8" s="11">
        <f>+G8+H8-I8</f>
        <v>0</v>
      </c>
      <c r="K8" s="9"/>
      <c r="L8" s="13">
        <v>990000</v>
      </c>
      <c r="M8" s="14"/>
    </row>
    <row r="9" spans="2:14" ht="45" customHeight="1">
      <c r="B9" s="6">
        <v>2</v>
      </c>
      <c r="C9" s="7" t="s">
        <v>16</v>
      </c>
      <c r="D9" s="8">
        <v>18</v>
      </c>
      <c r="E9" s="9" t="s">
        <v>20</v>
      </c>
      <c r="F9" s="10" t="s">
        <v>34</v>
      </c>
      <c r="G9" s="234">
        <v>8400</v>
      </c>
      <c r="H9" s="236">
        <f>25000*3</f>
        <v>75000</v>
      </c>
      <c r="I9" s="234">
        <f>50000+25000</f>
        <v>75000</v>
      </c>
      <c r="J9" s="234">
        <f>+G9+H9-I9</f>
        <v>8400</v>
      </c>
      <c r="K9" s="238"/>
      <c r="L9" s="228"/>
      <c r="M9" s="229"/>
      <c r="N9" s="229"/>
    </row>
    <row r="10" spans="2:14" ht="45" customHeight="1">
      <c r="B10" s="6"/>
      <c r="C10" s="7" t="s">
        <v>16</v>
      </c>
      <c r="D10" s="8">
        <v>19</v>
      </c>
      <c r="E10" s="9" t="s">
        <v>20</v>
      </c>
      <c r="F10" s="10" t="s">
        <v>41</v>
      </c>
      <c r="G10" s="235"/>
      <c r="H10" s="237"/>
      <c r="I10" s="235"/>
      <c r="J10" s="235"/>
      <c r="K10" s="239"/>
      <c r="L10" s="15"/>
      <c r="M10" s="15"/>
      <c r="N10" s="15"/>
    </row>
    <row r="11" spans="2:14" ht="29.25" customHeight="1">
      <c r="B11" s="6">
        <v>3</v>
      </c>
      <c r="C11" s="16" t="s">
        <v>17</v>
      </c>
      <c r="D11" s="17">
        <v>76.5</v>
      </c>
      <c r="E11" s="9" t="s">
        <v>21</v>
      </c>
      <c r="F11" s="18" t="s">
        <v>35</v>
      </c>
      <c r="G11" s="12">
        <v>500</v>
      </c>
      <c r="H11" s="12">
        <f>36000*10</f>
        <v>360000</v>
      </c>
      <c r="I11" s="11">
        <f>324000+37000</f>
        <v>361000</v>
      </c>
      <c r="J11" s="11">
        <f t="shared" ref="J11:J15" si="0">+G11+H11-I11</f>
        <v>-500</v>
      </c>
      <c r="K11" s="9"/>
      <c r="L11" s="1">
        <v>37000</v>
      </c>
    </row>
    <row r="12" spans="2:14" ht="29.25" customHeight="1">
      <c r="B12" s="6">
        <v>4</v>
      </c>
      <c r="C12" s="16" t="s">
        <v>18</v>
      </c>
      <c r="D12" s="17">
        <v>270.2</v>
      </c>
      <c r="E12" s="9" t="s">
        <v>22</v>
      </c>
      <c r="F12" s="18" t="s">
        <v>36</v>
      </c>
      <c r="G12" s="12">
        <v>68000</v>
      </c>
      <c r="H12" s="12">
        <f>29000*6</f>
        <v>174000</v>
      </c>
      <c r="I12" s="11">
        <f>144500+93000</f>
        <v>237500</v>
      </c>
      <c r="J12" s="11">
        <f t="shared" si="0"/>
        <v>4500</v>
      </c>
      <c r="K12" s="9"/>
    </row>
    <row r="13" spans="2:14" ht="29.25" customHeight="1">
      <c r="B13" s="6">
        <v>5</v>
      </c>
      <c r="C13" s="7" t="s">
        <v>16</v>
      </c>
      <c r="D13" s="19"/>
      <c r="E13" s="9"/>
      <c r="F13" s="9"/>
      <c r="G13" s="20">
        <v>2000</v>
      </c>
      <c r="H13" s="12">
        <v>18000</v>
      </c>
      <c r="I13" s="11">
        <f>12000+6000</f>
        <v>18000</v>
      </c>
      <c r="J13" s="11">
        <f t="shared" si="0"/>
        <v>2000</v>
      </c>
      <c r="K13" s="9"/>
    </row>
    <row r="14" spans="2:14" ht="29.25" hidden="1" customHeight="1">
      <c r="B14" s="6">
        <v>6</v>
      </c>
      <c r="C14" s="9"/>
      <c r="D14" s="9"/>
      <c r="E14" s="9"/>
      <c r="F14" s="9"/>
      <c r="G14" s="11"/>
      <c r="H14" s="11"/>
      <c r="I14" s="11"/>
      <c r="J14" s="11">
        <f t="shared" si="0"/>
        <v>0</v>
      </c>
      <c r="K14" s="9"/>
    </row>
    <row r="15" spans="2:14" ht="29.25" hidden="1" customHeight="1">
      <c r="B15" s="6">
        <v>7</v>
      </c>
      <c r="C15" s="9"/>
      <c r="D15" s="9"/>
      <c r="E15" s="9"/>
      <c r="F15" s="9"/>
      <c r="G15" s="11"/>
      <c r="H15" s="11"/>
      <c r="I15" s="11"/>
      <c r="J15" s="11">
        <f t="shared" si="0"/>
        <v>0</v>
      </c>
      <c r="K15" s="9"/>
    </row>
    <row r="16" spans="2:14" ht="29.25" customHeight="1">
      <c r="B16" s="6">
        <v>8</v>
      </c>
      <c r="C16" s="9"/>
      <c r="D16" s="9"/>
      <c r="E16" s="9"/>
      <c r="F16" s="9"/>
      <c r="G16" s="11">
        <f>SUM(G7:G15)</f>
        <v>78900</v>
      </c>
      <c r="H16" s="11">
        <f>SUM(H7:H15)</f>
        <v>12507000</v>
      </c>
      <c r="I16" s="11">
        <f t="shared" ref="I16" si="1">SUM(I7:I15)</f>
        <v>12571500</v>
      </c>
      <c r="J16" s="11">
        <f>+G16+H16-I16</f>
        <v>14400</v>
      </c>
      <c r="K16" s="9"/>
      <c r="L16" s="21">
        <f>+H16+G16</f>
        <v>12585900</v>
      </c>
    </row>
    <row r="17" spans="2:18" s="22" customFormat="1" ht="18" customHeight="1"/>
    <row r="18" spans="2:18" ht="17.2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8" s="23" customFormat="1" ht="24" customHeight="1">
      <c r="C19" s="23" t="s">
        <v>3</v>
      </c>
      <c r="G19" s="24"/>
      <c r="H19" s="230"/>
      <c r="I19" s="230"/>
      <c r="R19" s="23" t="s">
        <v>33</v>
      </c>
    </row>
    <row r="20" spans="2:18" s="23" customFormat="1" ht="18" customHeight="1">
      <c r="G20" s="25"/>
      <c r="H20" s="25"/>
    </row>
    <row r="21" spans="2:18" s="23" customFormat="1" ht="21.75" customHeight="1">
      <c r="C21" s="26" t="s">
        <v>4</v>
      </c>
      <c r="D21" s="27"/>
      <c r="E21" s="27"/>
      <c r="G21" s="24"/>
      <c r="H21" s="230"/>
      <c r="I21" s="230"/>
    </row>
    <row r="22" spans="2:18">
      <c r="E22" s="28" t="s">
        <v>2</v>
      </c>
      <c r="G22" s="22"/>
      <c r="H22" s="22"/>
    </row>
    <row r="23" spans="2:18" ht="24" customHeight="1">
      <c r="G23" s="22"/>
      <c r="H23" s="22"/>
    </row>
  </sheetData>
  <mergeCells count="12">
    <mergeCell ref="L9:N9"/>
    <mergeCell ref="H21:I21"/>
    <mergeCell ref="H19:I19"/>
    <mergeCell ref="B1:K1"/>
    <mergeCell ref="B2:K2"/>
    <mergeCell ref="B3:K3"/>
    <mergeCell ref="D4:I4"/>
    <mergeCell ref="G9:G10"/>
    <mergeCell ref="H9:H10"/>
    <mergeCell ref="I9:I10"/>
    <mergeCell ref="J9:J10"/>
    <mergeCell ref="K9:K10"/>
  </mergeCells>
  <pageMargins left="0.2" right="0.2" top="0.27" bottom="0.35" header="0.19" footer="0.19"/>
  <pageSetup paperSize="9" scale="85" orientation="landscape" r:id="rId1"/>
  <headerFooter alignWithMargins="0"/>
  <rowBreaks count="2" manualBreakCount="2">
    <brk id="25" max="10" man="1"/>
    <brk id="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T20" sqref="T20"/>
    </sheetView>
  </sheetViews>
  <sheetFormatPr defaultColWidth="9.140625" defaultRowHeight="15"/>
  <cols>
    <col min="1" max="1" width="4.140625" style="30" customWidth="1"/>
    <col min="2" max="2" width="14.28515625" style="30" customWidth="1"/>
    <col min="3" max="3" width="9.28515625" style="30" customWidth="1"/>
    <col min="4" max="4" width="12.85546875" style="30" customWidth="1"/>
    <col min="5" max="5" width="9.85546875" style="30" customWidth="1"/>
    <col min="6" max="6" width="11.85546875" style="30" customWidth="1"/>
    <col min="7" max="7" width="11.28515625" style="30" customWidth="1"/>
    <col min="8" max="8" width="11.85546875" style="30" customWidth="1"/>
    <col min="9" max="9" width="10.42578125" style="30" customWidth="1"/>
    <col min="10" max="10" width="12.28515625" style="30" customWidth="1"/>
    <col min="11" max="11" width="9" style="30" customWidth="1"/>
    <col min="12" max="12" width="9.7109375" style="30" customWidth="1"/>
    <col min="13" max="13" width="10.85546875" style="30" customWidth="1"/>
    <col min="14" max="14" width="12.140625" style="30" customWidth="1"/>
    <col min="15" max="15" width="9.85546875" style="30" customWidth="1"/>
    <col min="16" max="16" width="9.140625" style="30" customWidth="1"/>
    <col min="17" max="16384" width="9.140625" style="30"/>
  </cols>
  <sheetData>
    <row r="1" spans="1:15" s="29" customFormat="1" ht="18.75" customHeight="1">
      <c r="A1" s="240" t="s">
        <v>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s="29" customFormat="1" ht="21.75" customHeight="1">
      <c r="A2" s="241" t="s">
        <v>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s="29" customFormat="1" ht="21" customHeight="1">
      <c r="A3" s="241" t="s">
        <v>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9.75" customHeight="1" thickBot="1"/>
    <row r="5" spans="1:15" s="31" customFormat="1" ht="24.75" customHeight="1">
      <c r="A5" s="242" t="s">
        <v>43</v>
      </c>
      <c r="B5" s="244" t="s">
        <v>44</v>
      </c>
      <c r="C5" s="246" t="s">
        <v>45</v>
      </c>
      <c r="D5" s="247"/>
      <c r="E5" s="247"/>
      <c r="F5" s="248"/>
      <c r="G5" s="246" t="s">
        <v>46</v>
      </c>
      <c r="H5" s="247"/>
      <c r="I5" s="247"/>
      <c r="J5" s="248"/>
      <c r="K5" s="249" t="s">
        <v>47</v>
      </c>
      <c r="L5" s="250"/>
      <c r="M5" s="250"/>
      <c r="N5" s="250"/>
      <c r="O5" s="251"/>
    </row>
    <row r="6" spans="1:15" s="36" customFormat="1" ht="51" customHeight="1">
      <c r="A6" s="243"/>
      <c r="B6" s="245"/>
      <c r="C6" s="32" t="s">
        <v>48</v>
      </c>
      <c r="D6" s="33" t="s">
        <v>49</v>
      </c>
      <c r="E6" s="34" t="s">
        <v>86</v>
      </c>
      <c r="F6" s="35" t="s">
        <v>85</v>
      </c>
      <c r="G6" s="32" t="s">
        <v>50</v>
      </c>
      <c r="H6" s="33" t="s">
        <v>49</v>
      </c>
      <c r="I6" s="33" t="s">
        <v>84</v>
      </c>
      <c r="J6" s="35" t="s">
        <v>85</v>
      </c>
      <c r="K6" s="32" t="s">
        <v>48</v>
      </c>
      <c r="L6" s="33" t="s">
        <v>86</v>
      </c>
      <c r="M6" s="33" t="s">
        <v>85</v>
      </c>
      <c r="N6" s="33" t="s">
        <v>51</v>
      </c>
      <c r="O6" s="35" t="s">
        <v>52</v>
      </c>
    </row>
    <row r="7" spans="1:15" ht="17.25" customHeight="1">
      <c r="A7" s="37">
        <v>1</v>
      </c>
      <c r="B7" s="38" t="s">
        <v>53</v>
      </c>
      <c r="C7" s="39">
        <v>7101</v>
      </c>
      <c r="D7" s="41">
        <v>987039</v>
      </c>
      <c r="E7" s="39">
        <v>7101</v>
      </c>
      <c r="F7" s="41">
        <v>987039</v>
      </c>
      <c r="G7" s="42">
        <f>760+3520</f>
        <v>4280</v>
      </c>
      <c r="H7" s="43">
        <v>184914</v>
      </c>
      <c r="I7" s="42">
        <f>760+3520</f>
        <v>4280</v>
      </c>
      <c r="J7" s="43">
        <v>184914.1</v>
      </c>
      <c r="K7" s="39">
        <v>106</v>
      </c>
      <c r="L7" s="39">
        <v>106</v>
      </c>
      <c r="M7" s="44">
        <f>+L7*191.414</f>
        <v>20289.883999999998</v>
      </c>
      <c r="N7" s="45">
        <f>ROUND(+L7*180,1)</f>
        <v>19080</v>
      </c>
      <c r="O7" s="46">
        <f>+M7-N7</f>
        <v>1209.8839999999982</v>
      </c>
    </row>
    <row r="8" spans="1:15" ht="17.25" customHeight="1">
      <c r="A8" s="37">
        <v>2</v>
      </c>
      <c r="B8" s="38" t="s">
        <v>54</v>
      </c>
      <c r="C8" s="39">
        <v>6992</v>
      </c>
      <c r="D8" s="41">
        <v>971888</v>
      </c>
      <c r="E8" s="39">
        <v>6992</v>
      </c>
      <c r="F8" s="41">
        <v>971888</v>
      </c>
      <c r="G8" s="39">
        <f>680+2840</f>
        <v>3520</v>
      </c>
      <c r="H8" s="41">
        <v>151530</v>
      </c>
      <c r="I8" s="39">
        <f>680+2840</f>
        <v>3520</v>
      </c>
      <c r="J8" s="41">
        <v>151529.60000000001</v>
      </c>
      <c r="K8" s="39">
        <v>123</v>
      </c>
      <c r="L8" s="39">
        <v>123</v>
      </c>
      <c r="M8" s="44">
        <f t="shared" ref="M8:M17" si="0">+L8*191.414</f>
        <v>23543.921999999999</v>
      </c>
      <c r="N8" s="45">
        <f>ROUND(+L8*180,1)</f>
        <v>22140</v>
      </c>
      <c r="O8" s="46">
        <f>+M8-N8</f>
        <v>1403.9219999999987</v>
      </c>
    </row>
    <row r="9" spans="1:15" ht="17.25" customHeight="1">
      <c r="A9" s="37">
        <v>3</v>
      </c>
      <c r="B9" s="38" t="s">
        <v>55</v>
      </c>
      <c r="C9" s="39">
        <v>3712</v>
      </c>
      <c r="D9" s="41">
        <v>515967</v>
      </c>
      <c r="E9" s="39">
        <v>3712</v>
      </c>
      <c r="F9" s="41">
        <v>515967</v>
      </c>
      <c r="G9" s="39">
        <f>420+2240</f>
        <v>2660</v>
      </c>
      <c r="H9" s="41">
        <v>115447</v>
      </c>
      <c r="I9" s="39">
        <f>420+2240</f>
        <v>2660</v>
      </c>
      <c r="J9" s="41">
        <v>115446.8</v>
      </c>
      <c r="K9" s="39">
        <v>118</v>
      </c>
      <c r="L9" s="39">
        <v>118</v>
      </c>
      <c r="M9" s="44">
        <f t="shared" si="0"/>
        <v>22586.851999999999</v>
      </c>
      <c r="N9" s="45">
        <f t="shared" ref="N9:N18" si="1">ROUND(+L9*180,1)</f>
        <v>21240</v>
      </c>
      <c r="O9" s="46">
        <f t="shared" ref="O9:O18" si="2">+M9-N9</f>
        <v>1346.851999999999</v>
      </c>
    </row>
    <row r="10" spans="1:15" ht="17.25" customHeight="1">
      <c r="A10" s="37">
        <v>4</v>
      </c>
      <c r="B10" s="38" t="s">
        <v>56</v>
      </c>
      <c r="C10" s="39">
        <v>1287</v>
      </c>
      <c r="D10" s="41">
        <v>178893</v>
      </c>
      <c r="E10" s="39">
        <v>1287</v>
      </c>
      <c r="F10" s="41">
        <v>178893</v>
      </c>
      <c r="G10" s="39">
        <f>200+2100</f>
        <v>2300</v>
      </c>
      <c r="H10" s="41">
        <v>101454</v>
      </c>
      <c r="I10" s="39">
        <f>200+2100</f>
        <v>2300</v>
      </c>
      <c r="J10" s="41">
        <v>101454</v>
      </c>
      <c r="K10" s="39">
        <v>116</v>
      </c>
      <c r="L10" s="39">
        <v>116</v>
      </c>
      <c r="M10" s="44">
        <f t="shared" si="0"/>
        <v>22204.023999999998</v>
      </c>
      <c r="N10" s="45">
        <f t="shared" si="1"/>
        <v>20880</v>
      </c>
      <c r="O10" s="46">
        <f t="shared" si="2"/>
        <v>1324.0239999999976</v>
      </c>
    </row>
    <row r="11" spans="1:15" ht="17.25" customHeight="1">
      <c r="A11" s="37">
        <v>5</v>
      </c>
      <c r="B11" s="38" t="s">
        <v>57</v>
      </c>
      <c r="C11" s="39"/>
      <c r="D11" s="47"/>
      <c r="E11" s="39"/>
      <c r="F11" s="41"/>
      <c r="G11" s="39">
        <f>100+1480</f>
        <v>1580</v>
      </c>
      <c r="H11" s="41">
        <v>70068</v>
      </c>
      <c r="I11" s="39">
        <f>100+1480</f>
        <v>1580</v>
      </c>
      <c r="J11" s="41">
        <v>70068</v>
      </c>
      <c r="K11" s="39">
        <v>137</v>
      </c>
      <c r="L11" s="39">
        <v>137</v>
      </c>
      <c r="M11" s="44">
        <f>+L11*191.414</f>
        <v>26223.717999999997</v>
      </c>
      <c r="N11" s="45">
        <f>ROUND(+L11*180,1)</f>
        <v>24660</v>
      </c>
      <c r="O11" s="46">
        <f t="shared" si="2"/>
        <v>1563.7179999999971</v>
      </c>
    </row>
    <row r="12" spans="1:15" ht="17.25" customHeight="1">
      <c r="A12" s="37">
        <v>6</v>
      </c>
      <c r="B12" s="38" t="s">
        <v>58</v>
      </c>
      <c r="C12" s="39"/>
      <c r="D12" s="47"/>
      <c r="E12" s="39"/>
      <c r="F12" s="41"/>
      <c r="G12" s="39">
        <f>80+80</f>
        <v>160</v>
      </c>
      <c r="H12" s="41">
        <v>6397</v>
      </c>
      <c r="I12" s="39">
        <f>80+80</f>
        <v>160</v>
      </c>
      <c r="J12" s="41">
        <v>6396.8</v>
      </c>
      <c r="K12" s="39">
        <v>39</v>
      </c>
      <c r="L12" s="39">
        <v>39</v>
      </c>
      <c r="M12" s="44">
        <f t="shared" si="0"/>
        <v>7465.1459999999997</v>
      </c>
      <c r="N12" s="45">
        <f>ROUND(+L12*180,1)</f>
        <v>7020</v>
      </c>
      <c r="O12" s="46">
        <f t="shared" si="2"/>
        <v>445.14599999999973</v>
      </c>
    </row>
    <row r="13" spans="1:15" ht="17.25" customHeight="1">
      <c r="A13" s="37">
        <v>7</v>
      </c>
      <c r="B13" s="38" t="s">
        <v>59</v>
      </c>
      <c r="C13" s="39"/>
      <c r="D13" s="47"/>
      <c r="E13" s="39"/>
      <c r="F13" s="41"/>
      <c r="G13" s="39">
        <f>80+220</f>
        <v>300</v>
      </c>
      <c r="H13" s="41">
        <v>12694</v>
      </c>
      <c r="I13" s="39">
        <f>80+220</f>
        <v>300</v>
      </c>
      <c r="J13" s="41">
        <v>12694</v>
      </c>
      <c r="K13" s="39">
        <v>41</v>
      </c>
      <c r="L13" s="39">
        <v>41</v>
      </c>
      <c r="M13" s="44">
        <f>+L13*191.414</f>
        <v>7847.9739999999993</v>
      </c>
      <c r="N13" s="45">
        <f t="shared" si="1"/>
        <v>7380</v>
      </c>
      <c r="O13" s="46">
        <f t="shared" si="2"/>
        <v>467.97399999999925</v>
      </c>
    </row>
    <row r="14" spans="1:15" ht="17.25" customHeight="1">
      <c r="A14" s="37">
        <v>8</v>
      </c>
      <c r="B14" s="48" t="s">
        <v>60</v>
      </c>
      <c r="C14" s="39"/>
      <c r="D14" s="47"/>
      <c r="E14" s="39"/>
      <c r="F14" s="41"/>
      <c r="G14" s="39">
        <f>80+200</f>
        <v>280</v>
      </c>
      <c r="H14" s="41">
        <v>11794</v>
      </c>
      <c r="I14" s="39">
        <f>80+200</f>
        <v>280</v>
      </c>
      <c r="J14" s="41">
        <v>11794.4</v>
      </c>
      <c r="K14" s="39">
        <v>19</v>
      </c>
      <c r="L14" s="39">
        <v>19</v>
      </c>
      <c r="M14" s="44">
        <f t="shared" si="0"/>
        <v>3636.866</v>
      </c>
      <c r="N14" s="45">
        <f t="shared" si="1"/>
        <v>3420</v>
      </c>
      <c r="O14" s="46">
        <f t="shared" si="2"/>
        <v>216.86599999999999</v>
      </c>
    </row>
    <row r="15" spans="1:15" ht="17.25" customHeight="1">
      <c r="A15" s="37">
        <v>9</v>
      </c>
      <c r="B15" s="48" t="s">
        <v>61</v>
      </c>
      <c r="C15" s="39"/>
      <c r="D15" s="47"/>
      <c r="E15" s="39"/>
      <c r="F15" s="41"/>
      <c r="G15" s="39">
        <f>80+1240</f>
        <v>1320</v>
      </c>
      <c r="H15" s="41">
        <v>58574</v>
      </c>
      <c r="I15" s="39">
        <f>80+1240</f>
        <v>1320</v>
      </c>
      <c r="J15" s="41">
        <v>58573.599999999999</v>
      </c>
      <c r="K15" s="39">
        <v>86</v>
      </c>
      <c r="L15" s="39">
        <v>86</v>
      </c>
      <c r="M15" s="44">
        <f t="shared" si="0"/>
        <v>16461.603999999999</v>
      </c>
      <c r="N15" s="45">
        <f t="shared" si="1"/>
        <v>15480</v>
      </c>
      <c r="O15" s="46">
        <f t="shared" si="2"/>
        <v>981.60399999999936</v>
      </c>
    </row>
    <row r="16" spans="1:15" ht="17.25" customHeight="1">
      <c r="A16" s="37">
        <v>10</v>
      </c>
      <c r="B16" s="48" t="s">
        <v>62</v>
      </c>
      <c r="C16" s="39"/>
      <c r="D16" s="47"/>
      <c r="E16" s="39"/>
      <c r="F16" s="41"/>
      <c r="G16" s="39">
        <f>100+1340</f>
        <v>1440</v>
      </c>
      <c r="H16" s="41">
        <v>63771</v>
      </c>
      <c r="I16" s="39">
        <f>100+1340</f>
        <v>1440</v>
      </c>
      <c r="J16" s="41">
        <v>63771.199999999997</v>
      </c>
      <c r="K16" s="39">
        <v>114</v>
      </c>
      <c r="L16" s="39">
        <v>114</v>
      </c>
      <c r="M16" s="44">
        <f>+L16*191.414</f>
        <v>21821.196</v>
      </c>
      <c r="N16" s="45">
        <f t="shared" si="1"/>
        <v>20520</v>
      </c>
      <c r="O16" s="46">
        <f t="shared" si="2"/>
        <v>1301.1959999999999</v>
      </c>
    </row>
    <row r="17" spans="1:16" ht="17.25" customHeight="1">
      <c r="A17" s="37">
        <v>11</v>
      </c>
      <c r="B17" s="48" t="s">
        <v>63</v>
      </c>
      <c r="C17" s="39">
        <v>4843</v>
      </c>
      <c r="D17" s="41">
        <f>+C17*139</f>
        <v>673177</v>
      </c>
      <c r="E17" s="39">
        <v>4843</v>
      </c>
      <c r="F17" s="41">
        <f>+E17*139</f>
        <v>673177</v>
      </c>
      <c r="G17" s="39">
        <v>3340</v>
      </c>
      <c r="H17" s="41">
        <v>144633</v>
      </c>
      <c r="I17" s="39">
        <v>3340</v>
      </c>
      <c r="J17" s="41">
        <f>+I17*43.2</f>
        <v>144288</v>
      </c>
      <c r="K17" s="39">
        <v>95</v>
      </c>
      <c r="L17" s="39">
        <v>95</v>
      </c>
      <c r="M17" s="44">
        <f t="shared" si="0"/>
        <v>18184.329999999998</v>
      </c>
      <c r="N17" s="45">
        <f t="shared" si="1"/>
        <v>17100</v>
      </c>
      <c r="O17" s="46">
        <f t="shared" si="2"/>
        <v>1084.3299999999981</v>
      </c>
    </row>
    <row r="18" spans="1:16" ht="17.25" customHeight="1">
      <c r="A18" s="37">
        <v>12</v>
      </c>
      <c r="B18" s="48" t="s">
        <v>64</v>
      </c>
      <c r="C18" s="39"/>
      <c r="D18" s="41">
        <f>+C18*139</f>
        <v>0</v>
      </c>
      <c r="E18" s="39"/>
      <c r="F18" s="41">
        <f>+E18*139</f>
        <v>0</v>
      </c>
      <c r="G18" s="39">
        <f>380+2680</f>
        <v>3060</v>
      </c>
      <c r="H18" s="40">
        <v>133838.79999999999</v>
      </c>
      <c r="I18" s="39">
        <v>3060</v>
      </c>
      <c r="J18" s="40">
        <v>133838.79999999999</v>
      </c>
      <c r="K18" s="39">
        <v>111</v>
      </c>
      <c r="L18" s="39">
        <f>+K18</f>
        <v>111</v>
      </c>
      <c r="M18" s="44">
        <f>+L18*191.414</f>
        <v>21246.953999999998</v>
      </c>
      <c r="N18" s="45">
        <f t="shared" si="1"/>
        <v>19980</v>
      </c>
      <c r="O18" s="46">
        <f t="shared" si="2"/>
        <v>1266.9539999999979</v>
      </c>
    </row>
    <row r="19" spans="1:16" ht="32.25" customHeight="1" thickBot="1">
      <c r="A19" s="49"/>
      <c r="B19" s="50" t="s">
        <v>65</v>
      </c>
      <c r="C19" s="51">
        <f t="shared" ref="C19:O19" si="3">SUM(C7:C18)</f>
        <v>23935</v>
      </c>
      <c r="D19" s="52">
        <f t="shared" si="3"/>
        <v>3326964</v>
      </c>
      <c r="E19" s="53">
        <f t="shared" si="3"/>
        <v>23935</v>
      </c>
      <c r="F19" s="54">
        <f t="shared" si="3"/>
        <v>3326964</v>
      </c>
      <c r="G19" s="51">
        <f t="shared" si="3"/>
        <v>24240</v>
      </c>
      <c r="H19" s="52">
        <f t="shared" si="3"/>
        <v>1055114.8</v>
      </c>
      <c r="I19" s="53">
        <f t="shared" si="3"/>
        <v>24240</v>
      </c>
      <c r="J19" s="54">
        <f t="shared" si="3"/>
        <v>1054769.3</v>
      </c>
      <c r="K19" s="53">
        <f t="shared" ref="K19" si="4">SUM(K7:K18)</f>
        <v>1105</v>
      </c>
      <c r="L19" s="53">
        <f t="shared" si="3"/>
        <v>1105</v>
      </c>
      <c r="M19" s="52">
        <f t="shared" si="3"/>
        <v>211512.46999999997</v>
      </c>
      <c r="N19" s="55">
        <f t="shared" si="3"/>
        <v>198900</v>
      </c>
      <c r="O19" s="56">
        <f t="shared" si="3"/>
        <v>12612.469999999985</v>
      </c>
    </row>
    <row r="20" spans="1:16" ht="18.75" customHeight="1">
      <c r="A20" s="57"/>
      <c r="B20" s="254"/>
      <c r="C20" s="254"/>
      <c r="D20" s="254"/>
      <c r="E20" s="58"/>
      <c r="F20" s="59">
        <f>+F19/1000</f>
        <v>3326.9639999999999</v>
      </c>
      <c r="G20" s="57"/>
      <c r="H20" s="58"/>
      <c r="I20" s="57"/>
      <c r="J20" s="60">
        <f>+J19/1000</f>
        <v>1054.7693000000002</v>
      </c>
      <c r="K20" s="57"/>
      <c r="L20" s="57"/>
      <c r="M20" s="61">
        <f>ROUND(M19/1000,1)</f>
        <v>211.5</v>
      </c>
      <c r="N20" s="61">
        <f>ROUND(N19/1000,1)</f>
        <v>198.9</v>
      </c>
      <c r="O20" s="62">
        <f>ROUND(O19/1000,1)</f>
        <v>12.6</v>
      </c>
      <c r="P20" s="63">
        <f>+N20+O20-M20</f>
        <v>0</v>
      </c>
    </row>
    <row r="21" spans="1:16" ht="26.25" customHeight="1">
      <c r="A21" s="57"/>
      <c r="B21" s="254" t="s">
        <v>66</v>
      </c>
      <c r="C21" s="254"/>
      <c r="D21" s="254"/>
      <c r="E21" s="58"/>
      <c r="F21" s="59"/>
      <c r="G21" s="57"/>
      <c r="H21" s="58"/>
      <c r="I21" s="57"/>
      <c r="J21" s="57"/>
      <c r="K21" s="57"/>
      <c r="L21" s="57"/>
      <c r="M21" s="61"/>
      <c r="N21" s="61"/>
      <c r="O21" s="62"/>
      <c r="P21" s="63"/>
    </row>
    <row r="22" spans="1:16" s="29" customFormat="1" ht="48" customHeight="1">
      <c r="A22" s="64"/>
      <c r="B22" s="65" t="s">
        <v>67</v>
      </c>
      <c r="C22" s="64" t="s">
        <v>68</v>
      </c>
      <c r="D22" s="64"/>
      <c r="E22" s="64"/>
      <c r="F22" s="66"/>
      <c r="G22" s="64"/>
      <c r="H22" s="64"/>
      <c r="I22" s="64"/>
      <c r="J22" s="64"/>
      <c r="K22" s="64"/>
      <c r="L22" s="64"/>
      <c r="M22" s="64"/>
    </row>
    <row r="23" spans="1:16" ht="30" customHeight="1">
      <c r="A23" s="67">
        <v>1</v>
      </c>
      <c r="B23" s="68" t="s">
        <v>23</v>
      </c>
      <c r="C23" s="67"/>
      <c r="D23" s="67"/>
      <c r="E23" s="67"/>
      <c r="F23" s="44"/>
      <c r="G23" s="67"/>
      <c r="H23" s="67"/>
      <c r="I23" s="67"/>
      <c r="J23" s="67"/>
      <c r="K23" s="67"/>
      <c r="L23" s="67"/>
      <c r="M23" s="67">
        <v>18000</v>
      </c>
    </row>
    <row r="24" spans="1:16" ht="18.75" customHeight="1">
      <c r="A24" s="67">
        <v>2</v>
      </c>
      <c r="B24" s="69"/>
      <c r="C24" s="67"/>
      <c r="D24" s="67"/>
      <c r="E24" s="67"/>
      <c r="F24" s="44"/>
      <c r="G24" s="67"/>
      <c r="H24" s="67"/>
      <c r="I24" s="67"/>
      <c r="J24" s="67"/>
      <c r="K24" s="67"/>
      <c r="L24" s="67"/>
      <c r="M24" s="67"/>
    </row>
    <row r="25" spans="1:16" s="29" customFormat="1" ht="16.5" customHeight="1">
      <c r="A25" s="64"/>
      <c r="B25" s="70" t="s">
        <v>69</v>
      </c>
      <c r="C25" s="64"/>
      <c r="D25" s="64"/>
      <c r="E25" s="64"/>
      <c r="F25" s="71">
        <f>SUM(F23:F24)</f>
        <v>0</v>
      </c>
      <c r="G25" s="64"/>
      <c r="H25" s="64"/>
      <c r="I25" s="64"/>
      <c r="J25" s="71">
        <f>SUM(J23:J24)</f>
        <v>0</v>
      </c>
      <c r="K25" s="64"/>
      <c r="L25" s="64"/>
      <c r="M25" s="71">
        <f>SUM(M23:M24)</f>
        <v>18000</v>
      </c>
    </row>
    <row r="26" spans="1:16" s="29" customFormat="1" ht="27" customHeight="1">
      <c r="A26" s="64"/>
      <c r="B26" s="255" t="s">
        <v>70</v>
      </c>
      <c r="C26" s="256"/>
      <c r="D26" s="257"/>
      <c r="E26" s="64"/>
      <c r="F26" s="71">
        <f>+F19-F25</f>
        <v>3326964</v>
      </c>
      <c r="G26" s="64"/>
      <c r="H26" s="64"/>
      <c r="I26" s="64"/>
      <c r="J26" s="71">
        <f>+J19-J25</f>
        <v>1054769.3</v>
      </c>
      <c r="K26" s="64"/>
      <c r="L26" s="64"/>
      <c r="M26" s="71">
        <f>+M19-M25</f>
        <v>193512.46999999997</v>
      </c>
    </row>
    <row r="27" spans="1:16" s="29" customFormat="1" ht="21" customHeight="1">
      <c r="A27" s="60"/>
      <c r="B27" s="72"/>
      <c r="C27" s="60"/>
      <c r="D27" s="60"/>
      <c r="E27" s="60"/>
      <c r="F27" s="73"/>
      <c r="G27" s="60"/>
      <c r="H27" s="60"/>
      <c r="I27" s="60"/>
      <c r="J27" s="70" t="s">
        <v>71</v>
      </c>
      <c r="K27" s="64"/>
      <c r="L27" s="64"/>
      <c r="M27" s="71">
        <f>+F25+J25+M25</f>
        <v>18000</v>
      </c>
    </row>
    <row r="28" spans="1:16" s="29" customFormat="1" ht="12" customHeight="1">
      <c r="A28" s="60"/>
      <c r="B28" s="72"/>
      <c r="D28" s="60"/>
      <c r="E28" s="60"/>
      <c r="F28" s="73"/>
      <c r="G28" s="60"/>
      <c r="H28" s="60"/>
      <c r="I28" s="60"/>
      <c r="J28" s="60"/>
      <c r="K28" s="60"/>
      <c r="L28" s="60"/>
      <c r="M28" s="73"/>
    </row>
    <row r="29" spans="1:16" s="29" customFormat="1" ht="15" customHeight="1">
      <c r="A29" s="60"/>
      <c r="B29" s="72"/>
      <c r="C29" s="74"/>
      <c r="D29" s="60"/>
      <c r="E29" s="60"/>
      <c r="F29" s="73"/>
      <c r="G29" s="60"/>
      <c r="H29" s="60"/>
      <c r="I29" s="60"/>
      <c r="J29" s="74" t="s">
        <v>72</v>
      </c>
      <c r="K29" s="60"/>
      <c r="L29" s="60"/>
      <c r="M29" s="73"/>
    </row>
    <row r="30" spans="1:16" s="29" customFormat="1" ht="15" customHeight="1">
      <c r="A30" s="60"/>
      <c r="B30" s="72"/>
      <c r="C30" s="74"/>
      <c r="D30" s="60"/>
      <c r="E30" s="60"/>
      <c r="F30" s="73"/>
      <c r="G30" s="60"/>
      <c r="H30" s="60"/>
      <c r="I30" s="60"/>
      <c r="J30" s="74"/>
      <c r="K30" s="60"/>
      <c r="L30" s="60"/>
      <c r="M30" s="73"/>
    </row>
    <row r="31" spans="1:16" s="75" customFormat="1" ht="19.5" customHeight="1">
      <c r="B31" s="76"/>
      <c r="C31" s="77" t="s">
        <v>3</v>
      </c>
      <c r="D31" s="77"/>
      <c r="E31" s="76"/>
      <c r="F31" s="76"/>
      <c r="G31" s="258"/>
      <c r="H31" s="258"/>
      <c r="I31" s="258"/>
      <c r="K31" s="252"/>
      <c r="L31" s="252"/>
      <c r="M31" s="78"/>
    </row>
    <row r="32" spans="1:16" s="29" customFormat="1" ht="15.75">
      <c r="C32" s="79"/>
      <c r="D32" s="79"/>
      <c r="E32" s="80"/>
      <c r="F32" s="80"/>
      <c r="G32" s="253" t="s">
        <v>73</v>
      </c>
      <c r="H32" s="253"/>
      <c r="I32" s="253"/>
      <c r="J32" s="81"/>
      <c r="K32" s="253" t="s">
        <v>74</v>
      </c>
      <c r="L32" s="253"/>
    </row>
    <row r="33" spans="2:13" s="29" customFormat="1" ht="8.25" customHeight="1">
      <c r="C33" s="79"/>
      <c r="D33" s="79"/>
      <c r="E33" s="80"/>
      <c r="F33" s="80"/>
      <c r="G33" s="82"/>
      <c r="H33" s="79"/>
      <c r="I33" s="82"/>
      <c r="J33" s="83"/>
      <c r="K33" s="82"/>
      <c r="L33" s="82"/>
    </row>
    <row r="34" spans="2:13" s="75" customFormat="1" ht="18" customHeight="1">
      <c r="B34" s="76"/>
      <c r="C34" s="84" t="s">
        <v>4</v>
      </c>
      <c r="D34" s="84"/>
      <c r="E34" s="76"/>
      <c r="F34" s="76"/>
      <c r="G34" s="252"/>
      <c r="H34" s="252"/>
      <c r="I34" s="252"/>
      <c r="K34" s="252"/>
      <c r="L34" s="252"/>
    </row>
    <row r="35" spans="2:13" s="29" customFormat="1" ht="15.75">
      <c r="C35" s="85"/>
      <c r="D35" s="85"/>
      <c r="G35" s="253" t="s">
        <v>73</v>
      </c>
      <c r="H35" s="253"/>
      <c r="I35" s="253"/>
      <c r="J35" s="81"/>
      <c r="K35" s="253" t="s">
        <v>74</v>
      </c>
      <c r="L35" s="253"/>
    </row>
    <row r="36" spans="2:13">
      <c r="F36" s="86" t="s">
        <v>2</v>
      </c>
    </row>
    <row r="37" spans="2:13" ht="16.5" customHeight="1">
      <c r="C37" s="30" t="s">
        <v>75</v>
      </c>
      <c r="E37" s="30" t="s">
        <v>76</v>
      </c>
      <c r="F37" s="30" t="s">
        <v>77</v>
      </c>
      <c r="I37" s="87" t="s">
        <v>78</v>
      </c>
      <c r="J37" s="30" t="s">
        <v>79</v>
      </c>
      <c r="L37" s="30" t="s">
        <v>80</v>
      </c>
      <c r="M37" s="30" t="s">
        <v>81</v>
      </c>
    </row>
    <row r="38" spans="2:13" ht="16.5" customHeight="1">
      <c r="C38" s="30" t="s">
        <v>82</v>
      </c>
      <c r="E38" s="30" t="s">
        <v>76</v>
      </c>
      <c r="F38" s="30" t="s">
        <v>83</v>
      </c>
      <c r="M38" s="88">
        <f>204*10*191.414/1000</f>
        <v>390.48455999999999</v>
      </c>
    </row>
  </sheetData>
  <mergeCells count="19">
    <mergeCell ref="G34:I34"/>
    <mergeCell ref="K34:L34"/>
    <mergeCell ref="G35:I35"/>
    <mergeCell ref="K35:L35"/>
    <mergeCell ref="B20:D20"/>
    <mergeCell ref="B21:D21"/>
    <mergeCell ref="B26:D26"/>
    <mergeCell ref="G31:I31"/>
    <mergeCell ref="K31:L31"/>
    <mergeCell ref="G32:I32"/>
    <mergeCell ref="K32:L32"/>
    <mergeCell ref="A1:O1"/>
    <mergeCell ref="A2:O2"/>
    <mergeCell ref="A3:O3"/>
    <mergeCell ref="A5:A6"/>
    <mergeCell ref="B5:B6"/>
    <mergeCell ref="C5:F5"/>
    <mergeCell ref="G5:J5"/>
    <mergeCell ref="K5:O5"/>
  </mergeCells>
  <pageMargins left="0.2" right="0.2" top="0.31" bottom="0.3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0" workbookViewId="0">
      <selection activeCell="H46" sqref="H46"/>
    </sheetView>
  </sheetViews>
  <sheetFormatPr defaultRowHeight="15" customHeight="1"/>
  <cols>
    <col min="1" max="1" width="4.28515625" style="89" customWidth="1"/>
    <col min="2" max="2" width="32.5703125" style="89" customWidth="1"/>
    <col min="3" max="3" width="9.85546875" style="89" customWidth="1"/>
    <col min="4" max="4" width="17" style="89" customWidth="1"/>
    <col min="5" max="5" width="11.28515625" style="89" customWidth="1"/>
    <col min="6" max="6" width="19.7109375" style="89" customWidth="1"/>
    <col min="7" max="7" width="9.140625" style="89"/>
    <col min="8" max="8" width="10.5703125" style="89" bestFit="1" customWidth="1"/>
    <col min="9" max="9" width="9.140625" style="89"/>
    <col min="10" max="10" width="10.5703125" style="89" bestFit="1" customWidth="1"/>
    <col min="11" max="16384" width="9.140625" style="89"/>
  </cols>
  <sheetData>
    <row r="1" spans="1:6" ht="12.75">
      <c r="F1" s="89" t="s">
        <v>87</v>
      </c>
    </row>
    <row r="2" spans="1:6" ht="12.75">
      <c r="F2" s="89" t="s">
        <v>88</v>
      </c>
    </row>
    <row r="3" spans="1:6" ht="12.75">
      <c r="F3" s="89" t="s">
        <v>89</v>
      </c>
    </row>
    <row r="4" spans="1:6" ht="12.75">
      <c r="F4" s="89" t="s">
        <v>90</v>
      </c>
    </row>
    <row r="5" spans="1:6" ht="12.75">
      <c r="F5" s="89" t="s">
        <v>91</v>
      </c>
    </row>
    <row r="7" spans="1:6" ht="12.75"/>
    <row r="10" spans="1:6" ht="14.25">
      <c r="B10" s="260" t="s">
        <v>92</v>
      </c>
      <c r="C10" s="260"/>
      <c r="D10" s="260"/>
      <c r="E10" s="260"/>
      <c r="F10" s="260"/>
    </row>
    <row r="11" spans="1:6" ht="14.25">
      <c r="B11" s="261" t="s">
        <v>93</v>
      </c>
      <c r="C11" s="261"/>
      <c r="D11" s="261"/>
      <c r="E11" s="261"/>
      <c r="F11" s="261"/>
    </row>
    <row r="12" spans="1:6" ht="14.25">
      <c r="B12" s="261" t="s">
        <v>94</v>
      </c>
      <c r="C12" s="261"/>
      <c r="D12" s="261"/>
      <c r="E12" s="261"/>
      <c r="F12" s="261"/>
    </row>
    <row r="13" spans="1:6" ht="14.25">
      <c r="B13" s="90"/>
      <c r="C13" s="90"/>
      <c r="D13" s="90"/>
      <c r="E13" s="90"/>
      <c r="F13" s="90"/>
    </row>
    <row r="14" spans="1:6" ht="14.25">
      <c r="B14" s="90"/>
      <c r="C14" s="90"/>
      <c r="D14" s="90"/>
      <c r="E14" s="90"/>
      <c r="F14" s="90"/>
    </row>
    <row r="15" spans="1:6" s="94" customFormat="1" ht="12.75">
      <c r="A15" s="91"/>
      <c r="B15" s="91"/>
      <c r="C15" s="92"/>
      <c r="D15" s="91" t="s">
        <v>95</v>
      </c>
      <c r="E15" s="93"/>
      <c r="F15" s="91" t="s">
        <v>96</v>
      </c>
    </row>
    <row r="16" spans="1:6" s="94" customFormat="1" ht="12.75">
      <c r="A16" s="95" t="s">
        <v>97</v>
      </c>
      <c r="B16" s="95" t="s">
        <v>98</v>
      </c>
      <c r="C16" s="96" t="s">
        <v>99</v>
      </c>
      <c r="D16" s="95" t="s">
        <v>100</v>
      </c>
      <c r="E16" s="97" t="s">
        <v>101</v>
      </c>
      <c r="F16" s="95" t="s">
        <v>100</v>
      </c>
    </row>
    <row r="17" spans="1:10" s="94" customFormat="1" ht="12.75">
      <c r="A17" s="95"/>
      <c r="B17" s="95"/>
      <c r="C17" s="96" t="s">
        <v>102</v>
      </c>
      <c r="D17" s="95" t="s">
        <v>103</v>
      </c>
      <c r="E17" s="97"/>
      <c r="F17" s="95" t="s">
        <v>103</v>
      </c>
    </row>
    <row r="18" spans="1:10" s="94" customFormat="1" ht="12.75">
      <c r="A18" s="98"/>
      <c r="B18" s="98"/>
      <c r="C18" s="99"/>
      <c r="D18" s="98"/>
      <c r="E18" s="100"/>
      <c r="F18" s="98"/>
    </row>
    <row r="19" spans="1:10" ht="12.75">
      <c r="A19" s="101"/>
      <c r="B19" s="102" t="s">
        <v>104</v>
      </c>
      <c r="C19" s="101"/>
      <c r="D19" s="103"/>
      <c r="E19" s="101"/>
      <c r="F19" s="101"/>
    </row>
    <row r="20" spans="1:10" ht="12.75">
      <c r="A20" s="101">
        <v>1</v>
      </c>
      <c r="B20" s="104" t="s">
        <v>105</v>
      </c>
      <c r="C20" s="105">
        <v>1</v>
      </c>
      <c r="D20" s="105">
        <v>155000</v>
      </c>
      <c r="E20" s="105">
        <v>30000</v>
      </c>
      <c r="F20" s="105">
        <f>C20*D20+E20</f>
        <v>185000</v>
      </c>
    </row>
    <row r="21" spans="1:10" ht="38.25">
      <c r="A21" s="101">
        <v>2</v>
      </c>
      <c r="B21" s="106" t="s">
        <v>106</v>
      </c>
      <c r="C21" s="105">
        <v>0.5</v>
      </c>
      <c r="D21" s="105">
        <v>150000</v>
      </c>
      <c r="E21" s="105"/>
      <c r="F21" s="105">
        <f t="shared" ref="F21:F41" si="0">C21*D21+E21</f>
        <v>75000</v>
      </c>
    </row>
    <row r="22" spans="1:10" ht="25.5">
      <c r="A22" s="101">
        <v>3</v>
      </c>
      <c r="B22" s="106" t="s">
        <v>107</v>
      </c>
      <c r="C22" s="105">
        <v>0.5</v>
      </c>
      <c r="D22" s="105">
        <v>150000</v>
      </c>
      <c r="E22" s="105"/>
      <c r="F22" s="105">
        <f t="shared" si="0"/>
        <v>75000</v>
      </c>
    </row>
    <row r="23" spans="1:10" ht="25.5">
      <c r="A23" s="101"/>
      <c r="B23" s="102" t="s">
        <v>108</v>
      </c>
      <c r="C23" s="105"/>
      <c r="D23" s="105"/>
      <c r="E23" s="105"/>
      <c r="F23" s="105"/>
    </row>
    <row r="24" spans="1:10" ht="38.25">
      <c r="A24" s="101">
        <v>4</v>
      </c>
      <c r="B24" s="106" t="s">
        <v>109</v>
      </c>
      <c r="C24" s="105">
        <v>1</v>
      </c>
      <c r="D24" s="105">
        <v>116362</v>
      </c>
      <c r="E24" s="105"/>
      <c r="F24" s="105">
        <f>+C24*D24</f>
        <v>116362</v>
      </c>
      <c r="G24" s="107"/>
      <c r="H24" s="108"/>
      <c r="I24" s="108"/>
    </row>
    <row r="25" spans="1:10" ht="12.75">
      <c r="A25" s="101">
        <v>5</v>
      </c>
      <c r="B25" s="106" t="s">
        <v>110</v>
      </c>
      <c r="C25" s="105">
        <v>1</v>
      </c>
      <c r="D25" s="105">
        <v>119570</v>
      </c>
      <c r="E25" s="105">
        <v>6670</v>
      </c>
      <c r="F25" s="105">
        <f t="shared" si="0"/>
        <v>126240</v>
      </c>
      <c r="G25" s="109"/>
    </row>
    <row r="26" spans="1:10" ht="12.75">
      <c r="A26" s="101">
        <v>6</v>
      </c>
      <c r="B26" s="110" t="s">
        <v>111</v>
      </c>
      <c r="C26" s="105">
        <v>2</v>
      </c>
      <c r="D26" s="105">
        <v>116362</v>
      </c>
      <c r="E26" s="105"/>
      <c r="F26" s="105">
        <f t="shared" si="0"/>
        <v>232724</v>
      </c>
      <c r="G26" s="109"/>
    </row>
    <row r="27" spans="1:10" ht="12.75">
      <c r="A27" s="101">
        <v>7</v>
      </c>
      <c r="B27" s="110" t="s">
        <v>112</v>
      </c>
      <c r="C27" s="105">
        <v>1</v>
      </c>
      <c r="D27" s="105">
        <v>116362</v>
      </c>
      <c r="E27" s="105"/>
      <c r="F27" s="105">
        <f t="shared" si="0"/>
        <v>116362</v>
      </c>
    </row>
    <row r="28" spans="1:10" ht="12.75">
      <c r="A28" s="101">
        <v>8</v>
      </c>
      <c r="B28" s="110" t="s">
        <v>113</v>
      </c>
      <c r="C28" s="105">
        <v>16.77</v>
      </c>
      <c r="D28" s="111">
        <v>125000</v>
      </c>
      <c r="E28" s="105">
        <v>341004</v>
      </c>
      <c r="F28" s="111">
        <f t="shared" si="0"/>
        <v>2437254</v>
      </c>
      <c r="G28" s="108"/>
      <c r="H28" s="108"/>
      <c r="J28" s="112"/>
    </row>
    <row r="29" spans="1:10" ht="12.75">
      <c r="A29" s="101">
        <v>9</v>
      </c>
      <c r="B29" s="110" t="s">
        <v>114</v>
      </c>
      <c r="C29" s="105">
        <v>2</v>
      </c>
      <c r="D29" s="111">
        <v>95656</v>
      </c>
      <c r="E29" s="105"/>
      <c r="F29" s="111">
        <f>+D29*C29+E29</f>
        <v>191312</v>
      </c>
      <c r="G29" s="108"/>
      <c r="H29" s="108"/>
    </row>
    <row r="30" spans="1:10" ht="12.75">
      <c r="A30" s="101"/>
      <c r="B30" s="102" t="s">
        <v>115</v>
      </c>
      <c r="C30" s="113"/>
      <c r="D30" s="105"/>
      <c r="E30" s="113"/>
      <c r="F30" s="105"/>
      <c r="H30" s="114"/>
    </row>
    <row r="31" spans="1:10" ht="12.75">
      <c r="A31" s="101">
        <v>10</v>
      </c>
      <c r="B31" s="115" t="s">
        <v>116</v>
      </c>
      <c r="C31" s="105">
        <v>1</v>
      </c>
      <c r="D31" s="105">
        <v>115000</v>
      </c>
      <c r="E31" s="105"/>
      <c r="F31" s="105">
        <f>+C31*D31</f>
        <v>115000</v>
      </c>
      <c r="G31" s="108"/>
      <c r="H31" s="108"/>
    </row>
    <row r="32" spans="1:10" ht="12.75">
      <c r="A32" s="101">
        <v>11</v>
      </c>
      <c r="B32" s="115" t="s">
        <v>117</v>
      </c>
      <c r="C32" s="105">
        <v>0.5</v>
      </c>
      <c r="D32" s="105">
        <v>102618</v>
      </c>
      <c r="E32" s="105"/>
      <c r="F32" s="105">
        <f t="shared" si="0"/>
        <v>51309</v>
      </c>
    </row>
    <row r="33" spans="1:12" ht="15" customHeight="1">
      <c r="A33" s="101">
        <v>12</v>
      </c>
      <c r="B33" s="115" t="s">
        <v>118</v>
      </c>
      <c r="C33" s="105">
        <v>1</v>
      </c>
      <c r="D33" s="105">
        <v>92618</v>
      </c>
      <c r="E33" s="105"/>
      <c r="F33" s="105">
        <f t="shared" si="0"/>
        <v>92618</v>
      </c>
    </row>
    <row r="34" spans="1:12" ht="14.25" customHeight="1">
      <c r="A34" s="101">
        <v>13</v>
      </c>
      <c r="B34" s="115" t="s">
        <v>119</v>
      </c>
      <c r="C34" s="105">
        <v>1</v>
      </c>
      <c r="D34" s="105">
        <v>92618</v>
      </c>
      <c r="E34" s="105"/>
      <c r="F34" s="105">
        <f t="shared" si="0"/>
        <v>92618</v>
      </c>
    </row>
    <row r="35" spans="1:12" ht="15" customHeight="1">
      <c r="A35" s="101">
        <v>14</v>
      </c>
      <c r="B35" s="115" t="s">
        <v>120</v>
      </c>
      <c r="C35" s="105">
        <v>0.5</v>
      </c>
      <c r="D35" s="105">
        <v>92618</v>
      </c>
      <c r="E35" s="105"/>
      <c r="F35" s="105">
        <f t="shared" si="0"/>
        <v>46309</v>
      </c>
    </row>
    <row r="36" spans="1:12" ht="15" customHeight="1">
      <c r="A36" s="101">
        <v>15</v>
      </c>
      <c r="B36" s="115" t="s">
        <v>121</v>
      </c>
      <c r="C36" s="105">
        <v>1</v>
      </c>
      <c r="D36" s="105">
        <v>92618</v>
      </c>
      <c r="E36" s="105"/>
      <c r="F36" s="105">
        <f t="shared" si="0"/>
        <v>92618</v>
      </c>
    </row>
    <row r="37" spans="1:12" ht="15" customHeight="1">
      <c r="A37" s="101">
        <v>16</v>
      </c>
      <c r="B37" s="115" t="s">
        <v>122</v>
      </c>
      <c r="C37" s="105">
        <v>1</v>
      </c>
      <c r="D37" s="105">
        <v>92618</v>
      </c>
      <c r="E37" s="105"/>
      <c r="F37" s="105">
        <f t="shared" si="0"/>
        <v>92618</v>
      </c>
    </row>
    <row r="38" spans="1:12" ht="15.75" customHeight="1">
      <c r="A38" s="101">
        <v>17</v>
      </c>
      <c r="B38" s="116" t="s">
        <v>123</v>
      </c>
      <c r="C38" s="105">
        <v>1</v>
      </c>
      <c r="D38" s="105">
        <v>92618</v>
      </c>
      <c r="E38" s="105"/>
      <c r="F38" s="105">
        <f t="shared" si="0"/>
        <v>92618</v>
      </c>
      <c r="L38" s="108"/>
    </row>
    <row r="39" spans="1:12" ht="15" customHeight="1">
      <c r="A39" s="101">
        <v>18</v>
      </c>
      <c r="B39" s="115" t="s">
        <v>124</v>
      </c>
      <c r="C39" s="105">
        <v>1</v>
      </c>
      <c r="D39" s="105">
        <v>92618</v>
      </c>
      <c r="E39" s="105">
        <v>27785</v>
      </c>
      <c r="F39" s="105">
        <f t="shared" si="0"/>
        <v>120403</v>
      </c>
      <c r="H39" s="108"/>
      <c r="I39" s="89">
        <f>15896/77904</f>
        <v>0.20404600533990552</v>
      </c>
      <c r="J39" s="89">
        <f>92618*0.3</f>
        <v>27785.399999999998</v>
      </c>
    </row>
    <row r="40" spans="1:12" ht="15" customHeight="1">
      <c r="A40" s="101">
        <v>19</v>
      </c>
      <c r="B40" s="115" t="s">
        <v>125</v>
      </c>
      <c r="C40" s="105">
        <v>4</v>
      </c>
      <c r="D40" s="105">
        <v>92618</v>
      </c>
      <c r="E40" s="105">
        <v>27785</v>
      </c>
      <c r="F40" s="111">
        <f>C40*D40+E40*4</f>
        <v>481612</v>
      </c>
      <c r="H40" s="108"/>
      <c r="L40" s="108"/>
    </row>
    <row r="41" spans="1:12" ht="13.5" customHeight="1">
      <c r="A41" s="101">
        <v>20</v>
      </c>
      <c r="B41" s="116" t="s">
        <v>126</v>
      </c>
      <c r="C41" s="105">
        <v>3</v>
      </c>
      <c r="D41" s="105">
        <v>92618</v>
      </c>
      <c r="E41" s="105"/>
      <c r="F41" s="105">
        <f t="shared" si="0"/>
        <v>277854</v>
      </c>
    </row>
    <row r="42" spans="1:12" ht="15" customHeight="1">
      <c r="A42" s="101"/>
      <c r="B42" s="117" t="s">
        <v>127</v>
      </c>
      <c r="C42" s="118">
        <f>SUM(C20:C41)</f>
        <v>40.769999999999996</v>
      </c>
      <c r="D42" s="119"/>
      <c r="E42" s="120">
        <f>SUM(E19:E41)</f>
        <v>433244</v>
      </c>
      <c r="F42" s="120">
        <f>SUM(F19:F41)</f>
        <v>5110831</v>
      </c>
      <c r="G42" s="108"/>
      <c r="H42" s="108">
        <v>4732716</v>
      </c>
      <c r="I42" s="108"/>
      <c r="L42" s="108"/>
    </row>
    <row r="44" spans="1:12" ht="21" customHeight="1">
      <c r="B44" s="259" t="s">
        <v>128</v>
      </c>
      <c r="C44" s="259"/>
      <c r="D44" s="259"/>
      <c r="E44" s="259"/>
      <c r="F44" s="259"/>
      <c r="H44" s="89">
        <f>+F42/H42</f>
        <v>1.0798938706653853</v>
      </c>
    </row>
    <row r="45" spans="1:12" ht="21" customHeight="1">
      <c r="B45" s="262" t="s">
        <v>129</v>
      </c>
      <c r="C45" s="262"/>
      <c r="D45" s="262"/>
      <c r="E45" s="262"/>
      <c r="F45" s="262"/>
      <c r="H45" s="89">
        <f>+H42*1.1</f>
        <v>5205987.6000000006</v>
      </c>
    </row>
    <row r="46" spans="1:12" ht="21" customHeight="1">
      <c r="B46" s="259" t="s">
        <v>130</v>
      </c>
      <c r="C46" s="259"/>
      <c r="D46" s="259"/>
      <c r="E46" s="259"/>
      <c r="F46" s="259"/>
    </row>
    <row r="47" spans="1:12" ht="15" customHeight="1">
      <c r="B47" s="94"/>
      <c r="C47" s="94"/>
      <c r="D47" s="94"/>
      <c r="E47" s="94"/>
      <c r="F47" s="94"/>
    </row>
    <row r="50" spans="6:6" ht="12.75">
      <c r="F50" s="108"/>
    </row>
  </sheetData>
  <mergeCells count="6">
    <mergeCell ref="B46:F46"/>
    <mergeCell ref="B10:F10"/>
    <mergeCell ref="B11:F11"/>
    <mergeCell ref="B12:F12"/>
    <mergeCell ref="B44:F44"/>
    <mergeCell ref="B45:F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tabSelected="1" topLeftCell="A64" workbookViewId="0">
      <selection activeCell="P54" sqref="P54"/>
    </sheetView>
  </sheetViews>
  <sheetFormatPr defaultColWidth="8.85546875" defaultRowHeight="13.5"/>
  <cols>
    <col min="1" max="1" width="9.42578125" style="206" customWidth="1"/>
    <col min="2" max="2" width="50.85546875" style="207" customWidth="1"/>
    <col min="3" max="3" width="10" style="195" customWidth="1"/>
    <col min="4" max="4" width="12.28515625" style="195" hidden="1" customWidth="1"/>
    <col min="5" max="5" width="11.28515625" style="195" hidden="1" customWidth="1"/>
    <col min="6" max="6" width="15.7109375" style="195" customWidth="1"/>
    <col min="7" max="7" width="12.28515625" style="195" hidden="1" customWidth="1"/>
    <col min="8" max="8" width="0.42578125" style="195" hidden="1" customWidth="1"/>
    <col min="9" max="9" width="17" style="195" customWidth="1"/>
    <col min="10" max="10" width="12.28515625" style="195" hidden="1" customWidth="1"/>
    <col min="11" max="11" width="11.28515625" style="195" hidden="1" customWidth="1"/>
    <col min="12" max="12" width="17" style="195" customWidth="1"/>
    <col min="13" max="13" width="12.28515625" style="195" hidden="1" customWidth="1"/>
    <col min="14" max="14" width="11.28515625" style="195" hidden="1" customWidth="1"/>
    <col min="15" max="15" width="18.28515625" style="195" customWidth="1"/>
    <col min="16" max="16" width="9.140625" style="195" bestFit="1" customWidth="1"/>
    <col min="17" max="16384" width="8.85546875" style="195"/>
  </cols>
  <sheetData>
    <row r="1" spans="1:15" s="121" customFormat="1" ht="16.5">
      <c r="B1" s="264" t="s">
        <v>131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 s="121" customFormat="1" ht="16.5">
      <c r="A2" s="265" t="s">
        <v>132</v>
      </c>
      <c r="B2" s="265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121" customFormat="1" ht="19.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121" customFormat="1" ht="18.75">
      <c r="A4" s="125" t="s">
        <v>133</v>
      </c>
      <c r="B4" s="126" t="s">
        <v>134</v>
      </c>
      <c r="C4" s="266"/>
      <c r="D4" s="266"/>
      <c r="E4" s="266"/>
      <c r="F4" s="266"/>
      <c r="G4" s="266"/>
      <c r="H4" s="266"/>
      <c r="I4" s="266"/>
      <c r="M4" s="123"/>
      <c r="N4" s="123"/>
      <c r="O4" s="123"/>
    </row>
    <row r="5" spans="1:15" s="121" customFormat="1" ht="18.75">
      <c r="A5" s="125"/>
      <c r="B5" s="127" t="s">
        <v>135</v>
      </c>
      <c r="C5" s="128"/>
      <c r="D5" s="128"/>
      <c r="E5" s="128"/>
      <c r="F5" s="128"/>
      <c r="I5" s="129"/>
      <c r="J5" s="129"/>
      <c r="K5" s="129"/>
      <c r="L5" s="123"/>
      <c r="M5" s="123"/>
      <c r="N5" s="123"/>
      <c r="O5" s="123"/>
    </row>
    <row r="6" spans="1:15" s="121" customFormat="1" ht="18.75">
      <c r="A6" s="130"/>
      <c r="B6" s="130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s="121" customFormat="1" ht="19.5">
      <c r="A7" s="267" t="s">
        <v>136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s="121" customFormat="1" ht="18.75">
      <c r="A8" s="131"/>
      <c r="B8" s="130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s="121" customFormat="1" ht="19.5">
      <c r="A9" s="268" t="s">
        <v>137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</row>
    <row r="10" spans="1:15" s="121" customFormat="1" ht="18.75">
      <c r="A10" s="130"/>
      <c r="B10" s="130"/>
      <c r="C10" s="13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s="121" customFormat="1" ht="48.75">
      <c r="A11" s="130"/>
      <c r="B11" s="133" t="s">
        <v>138</v>
      </c>
      <c r="C11" s="134"/>
      <c r="D11" s="134"/>
      <c r="E11" s="134"/>
      <c r="F11" s="263" t="s">
        <v>139</v>
      </c>
      <c r="G11" s="263"/>
      <c r="H11" s="263"/>
      <c r="I11" s="263"/>
      <c r="J11" s="263"/>
      <c r="K11" s="263"/>
      <c r="L11" s="263"/>
      <c r="M11" s="135"/>
      <c r="N11" s="136"/>
      <c r="O11" s="136"/>
    </row>
    <row r="12" spans="1:15" s="121" customFormat="1" ht="18.75">
      <c r="A12" s="130"/>
      <c r="B12" s="133"/>
      <c r="F12" s="137"/>
      <c r="G12" s="137"/>
      <c r="H12" s="137"/>
      <c r="I12" s="137"/>
      <c r="J12" s="138"/>
      <c r="K12" s="137"/>
      <c r="L12" s="137"/>
      <c r="M12" s="137"/>
      <c r="N12" s="123"/>
      <c r="O12" s="123"/>
    </row>
    <row r="13" spans="1:15" s="121" customFormat="1" ht="18.75">
      <c r="A13" s="130"/>
      <c r="B13" s="133" t="s">
        <v>140</v>
      </c>
      <c r="C13" s="276"/>
      <c r="D13" s="276"/>
      <c r="E13" s="276"/>
      <c r="F13" s="277" t="s">
        <v>141</v>
      </c>
      <c r="G13" s="277"/>
      <c r="H13" s="277"/>
      <c r="I13" s="277"/>
      <c r="J13" s="277"/>
      <c r="K13" s="277"/>
      <c r="L13" s="277"/>
      <c r="M13" s="135"/>
      <c r="N13" s="136"/>
      <c r="O13" s="136"/>
    </row>
    <row r="14" spans="1:15" s="121" customFormat="1" ht="18.75">
      <c r="A14" s="130"/>
      <c r="B14" s="133"/>
      <c r="C14" s="129"/>
      <c r="D14" s="129"/>
      <c r="E14" s="129"/>
      <c r="F14" s="139"/>
      <c r="G14" s="139"/>
      <c r="H14" s="139"/>
      <c r="I14" s="137"/>
      <c r="J14" s="263"/>
      <c r="K14" s="263"/>
      <c r="L14" s="263"/>
      <c r="M14" s="263"/>
      <c r="N14" s="123"/>
      <c r="O14" s="123"/>
    </row>
    <row r="15" spans="1:15" s="121" customFormat="1" ht="32.25">
      <c r="A15" s="130"/>
      <c r="B15" s="133" t="s">
        <v>142</v>
      </c>
      <c r="C15" s="129"/>
      <c r="D15" s="129"/>
      <c r="E15" s="129"/>
      <c r="F15" s="277" t="s">
        <v>143</v>
      </c>
      <c r="G15" s="278"/>
      <c r="H15" s="278"/>
      <c r="I15" s="278"/>
      <c r="J15" s="278"/>
      <c r="K15" s="278"/>
      <c r="L15" s="278"/>
      <c r="M15" s="135"/>
      <c r="N15" s="136"/>
      <c r="O15" s="136"/>
    </row>
    <row r="16" spans="1:15" s="121" customFormat="1" ht="18.75">
      <c r="A16" s="130"/>
      <c r="B16" s="133"/>
      <c r="C16" s="129"/>
      <c r="D16" s="129"/>
      <c r="E16" s="129"/>
      <c r="F16" s="129"/>
      <c r="G16" s="129"/>
      <c r="H16" s="129"/>
      <c r="J16" s="138"/>
      <c r="N16" s="123"/>
      <c r="O16" s="123"/>
    </row>
    <row r="17" spans="1:16" s="121" customFormat="1" ht="18.75">
      <c r="A17" s="130"/>
      <c r="B17" s="277" t="s">
        <v>144</v>
      </c>
      <c r="C17" s="277"/>
      <c r="D17" s="277"/>
      <c r="E17" s="277"/>
      <c r="F17" s="129"/>
      <c r="G17" s="129"/>
      <c r="H17" s="129"/>
      <c r="J17" s="138"/>
      <c r="N17" s="123"/>
      <c r="O17" s="123"/>
    </row>
    <row r="18" spans="1:16" s="142" customFormat="1" ht="14.25" thickBot="1">
      <c r="A18" s="140"/>
      <c r="B18" s="141"/>
    </row>
    <row r="19" spans="1:16" s="143" customFormat="1">
      <c r="A19" s="269" t="s">
        <v>145</v>
      </c>
      <c r="B19" s="271" t="s">
        <v>146</v>
      </c>
      <c r="C19" s="272"/>
      <c r="D19" s="275" t="s">
        <v>147</v>
      </c>
      <c r="E19" s="271"/>
      <c r="F19" s="272"/>
      <c r="G19" s="275" t="s">
        <v>148</v>
      </c>
      <c r="H19" s="271"/>
      <c r="I19" s="272"/>
      <c r="J19" s="275" t="s">
        <v>149</v>
      </c>
      <c r="K19" s="271"/>
      <c r="L19" s="272"/>
      <c r="M19" s="275" t="s">
        <v>150</v>
      </c>
      <c r="N19" s="271"/>
      <c r="O19" s="272"/>
    </row>
    <row r="20" spans="1:16" s="143" customFormat="1">
      <c r="A20" s="270"/>
      <c r="B20" s="273"/>
      <c r="C20" s="274"/>
      <c r="D20" s="279" t="s">
        <v>151</v>
      </c>
      <c r="E20" s="281" t="s">
        <v>152</v>
      </c>
      <c r="F20" s="283" t="s">
        <v>153</v>
      </c>
      <c r="G20" s="279" t="s">
        <v>151</v>
      </c>
      <c r="H20" s="281" t="s">
        <v>152</v>
      </c>
      <c r="I20" s="283" t="s">
        <v>153</v>
      </c>
      <c r="J20" s="279" t="s">
        <v>151</v>
      </c>
      <c r="K20" s="281" t="s">
        <v>152</v>
      </c>
      <c r="L20" s="283" t="s">
        <v>153</v>
      </c>
      <c r="M20" s="279" t="s">
        <v>151</v>
      </c>
      <c r="N20" s="281" t="s">
        <v>152</v>
      </c>
      <c r="O20" s="283" t="s">
        <v>153</v>
      </c>
    </row>
    <row r="21" spans="1:16" s="143" customFormat="1" ht="34.5" thickBot="1">
      <c r="A21" s="270"/>
      <c r="B21" s="144" t="s">
        <v>154</v>
      </c>
      <c r="C21" s="145" t="s">
        <v>155</v>
      </c>
      <c r="D21" s="280"/>
      <c r="E21" s="282"/>
      <c r="F21" s="284"/>
      <c r="G21" s="280"/>
      <c r="H21" s="282"/>
      <c r="I21" s="284"/>
      <c r="J21" s="280"/>
      <c r="K21" s="282"/>
      <c r="L21" s="284"/>
      <c r="M21" s="280"/>
      <c r="N21" s="282"/>
      <c r="O21" s="284"/>
    </row>
    <row r="22" spans="1:16" s="143" customFormat="1" ht="14.25" thickBot="1">
      <c r="A22" s="146" t="s">
        <v>156</v>
      </c>
      <c r="B22" s="147" t="s">
        <v>157</v>
      </c>
      <c r="C22" s="148" t="s">
        <v>158</v>
      </c>
      <c r="D22" s="149">
        <v>1</v>
      </c>
      <c r="E22" s="147">
        <v>2</v>
      </c>
      <c r="F22" s="148">
        <v>3</v>
      </c>
      <c r="G22" s="149">
        <v>4</v>
      </c>
      <c r="H22" s="147">
        <v>5</v>
      </c>
      <c r="I22" s="148">
        <v>6</v>
      </c>
      <c r="J22" s="149">
        <v>7</v>
      </c>
      <c r="K22" s="147">
        <v>8</v>
      </c>
      <c r="L22" s="148">
        <v>9</v>
      </c>
      <c r="M22" s="149">
        <v>10</v>
      </c>
      <c r="N22" s="147">
        <v>11</v>
      </c>
      <c r="O22" s="148">
        <v>12</v>
      </c>
    </row>
    <row r="23" spans="1:16" s="157" customFormat="1" ht="40.5">
      <c r="A23" s="150">
        <v>2000000</v>
      </c>
      <c r="B23" s="151" t="s">
        <v>159</v>
      </c>
      <c r="C23" s="152" t="s">
        <v>160</v>
      </c>
      <c r="D23" s="153">
        <v>0</v>
      </c>
      <c r="E23" s="154">
        <v>0</v>
      </c>
      <c r="F23" s="155">
        <f>F24+F39</f>
        <v>13025.7</v>
      </c>
      <c r="G23" s="153">
        <v>0</v>
      </c>
      <c r="H23" s="154">
        <v>0</v>
      </c>
      <c r="I23" s="155">
        <f>I24+I39</f>
        <v>13025.7</v>
      </c>
      <c r="J23" s="153">
        <v>0</v>
      </c>
      <c r="K23" s="154">
        <v>0</v>
      </c>
      <c r="L23" s="155">
        <f>L24+L39</f>
        <v>13025.7</v>
      </c>
      <c r="M23" s="153">
        <v>0</v>
      </c>
      <c r="N23" s="154">
        <v>0</v>
      </c>
      <c r="O23" s="155">
        <f>O24+O39</f>
        <v>13025.7</v>
      </c>
      <c r="P23" s="156"/>
    </row>
    <row r="24" spans="1:16" s="157" customFormat="1" ht="27">
      <c r="A24" s="158">
        <v>2112000</v>
      </c>
      <c r="B24" s="159" t="s">
        <v>161</v>
      </c>
      <c r="C24" s="160" t="s">
        <v>160</v>
      </c>
      <c r="D24" s="161">
        <v>0</v>
      </c>
      <c r="E24" s="162">
        <v>0</v>
      </c>
      <c r="F24" s="163">
        <f>F25+F28+F31</f>
        <v>0</v>
      </c>
      <c r="G24" s="161">
        <v>0</v>
      </c>
      <c r="H24" s="162">
        <v>0</v>
      </c>
      <c r="I24" s="163">
        <f>I25+I28+I31</f>
        <v>0</v>
      </c>
      <c r="J24" s="161">
        <v>0</v>
      </c>
      <c r="K24" s="162">
        <v>0</v>
      </c>
      <c r="L24" s="163">
        <f>L25+L28+L31</f>
        <v>0</v>
      </c>
      <c r="M24" s="161">
        <v>0</v>
      </c>
      <c r="N24" s="162">
        <v>0</v>
      </c>
      <c r="O24" s="163">
        <f>O25+O28+O31</f>
        <v>0</v>
      </c>
      <c r="P24" s="156"/>
    </row>
    <row r="25" spans="1:16" s="171" customFormat="1" ht="27">
      <c r="A25" s="164">
        <v>2112100</v>
      </c>
      <c r="B25" s="165" t="s">
        <v>162</v>
      </c>
      <c r="C25" s="166" t="s">
        <v>163</v>
      </c>
      <c r="D25" s="167">
        <v>0</v>
      </c>
      <c r="E25" s="168">
        <v>0</v>
      </c>
      <c r="F25" s="169">
        <f>SUM(F26:F27)</f>
        <v>0</v>
      </c>
      <c r="G25" s="167">
        <v>0</v>
      </c>
      <c r="H25" s="168">
        <v>0</v>
      </c>
      <c r="I25" s="169">
        <f>SUM(I26:I27)</f>
        <v>0</v>
      </c>
      <c r="J25" s="167">
        <v>0</v>
      </c>
      <c r="K25" s="168">
        <v>0</v>
      </c>
      <c r="L25" s="169">
        <f>SUM(L26:L27)</f>
        <v>0</v>
      </c>
      <c r="M25" s="167">
        <v>0</v>
      </c>
      <c r="N25" s="168">
        <v>0</v>
      </c>
      <c r="O25" s="169">
        <f>SUM(O26:O27)</f>
        <v>0</v>
      </c>
      <c r="P25" s="170"/>
    </row>
    <row r="26" spans="1:16" s="178" customFormat="1" ht="27">
      <c r="A26" s="172">
        <v>2112110</v>
      </c>
      <c r="B26" s="173" t="s">
        <v>164</v>
      </c>
      <c r="C26" s="174">
        <v>731100</v>
      </c>
      <c r="D26" s="175">
        <v>0</v>
      </c>
      <c r="E26" s="176">
        <v>0</v>
      </c>
      <c r="F26" s="177"/>
      <c r="G26" s="175">
        <v>0</v>
      </c>
      <c r="H26" s="176">
        <v>0</v>
      </c>
      <c r="I26" s="177"/>
      <c r="J26" s="175">
        <v>0</v>
      </c>
      <c r="K26" s="176">
        <v>0</v>
      </c>
      <c r="L26" s="177"/>
      <c r="M26" s="175">
        <v>0</v>
      </c>
      <c r="N26" s="176">
        <v>0</v>
      </c>
      <c r="O26" s="177"/>
      <c r="P26" s="170"/>
    </row>
    <row r="27" spans="1:16" s="178" customFormat="1" ht="27">
      <c r="A27" s="172">
        <v>2112120</v>
      </c>
      <c r="B27" s="173" t="s">
        <v>165</v>
      </c>
      <c r="C27" s="174">
        <v>731200</v>
      </c>
      <c r="D27" s="175">
        <v>0</v>
      </c>
      <c r="E27" s="176">
        <v>0</v>
      </c>
      <c r="F27" s="177"/>
      <c r="G27" s="175">
        <v>0</v>
      </c>
      <c r="H27" s="176">
        <v>0</v>
      </c>
      <c r="I27" s="177"/>
      <c r="J27" s="175">
        <v>0</v>
      </c>
      <c r="K27" s="176">
        <v>0</v>
      </c>
      <c r="L27" s="177"/>
      <c r="M27" s="175">
        <v>0</v>
      </c>
      <c r="N27" s="176">
        <v>0</v>
      </c>
      <c r="O27" s="177"/>
      <c r="P27" s="170"/>
    </row>
    <row r="28" spans="1:16" s="171" customFormat="1" ht="27">
      <c r="A28" s="164">
        <v>2112200</v>
      </c>
      <c r="B28" s="165" t="s">
        <v>166</v>
      </c>
      <c r="C28" s="166" t="s">
        <v>163</v>
      </c>
      <c r="D28" s="167">
        <v>0</v>
      </c>
      <c r="E28" s="168">
        <v>0</v>
      </c>
      <c r="F28" s="169">
        <f>SUM(F29:F30)</f>
        <v>0</v>
      </c>
      <c r="G28" s="167">
        <v>0</v>
      </c>
      <c r="H28" s="168">
        <v>0</v>
      </c>
      <c r="I28" s="169">
        <f>SUM(I29:I30)</f>
        <v>0</v>
      </c>
      <c r="J28" s="167">
        <v>0</v>
      </c>
      <c r="K28" s="168">
        <v>0</v>
      </c>
      <c r="L28" s="169">
        <f>SUM(L29:L30)</f>
        <v>0</v>
      </c>
      <c r="M28" s="167">
        <v>0</v>
      </c>
      <c r="N28" s="168">
        <v>0</v>
      </c>
      <c r="O28" s="169">
        <f>SUM(O29:O30)</f>
        <v>0</v>
      </c>
      <c r="P28" s="170"/>
    </row>
    <row r="29" spans="1:16" s="178" customFormat="1" ht="40.5">
      <c r="A29" s="172">
        <v>2112210</v>
      </c>
      <c r="B29" s="173" t="s">
        <v>167</v>
      </c>
      <c r="C29" s="174">
        <v>732100</v>
      </c>
      <c r="D29" s="179">
        <v>0</v>
      </c>
      <c r="E29" s="180">
        <v>0</v>
      </c>
      <c r="F29" s="177"/>
      <c r="G29" s="179">
        <v>0</v>
      </c>
      <c r="H29" s="180">
        <v>0</v>
      </c>
      <c r="I29" s="181"/>
      <c r="J29" s="179">
        <v>0</v>
      </c>
      <c r="K29" s="180">
        <v>0</v>
      </c>
      <c r="L29" s="181"/>
      <c r="M29" s="179">
        <v>0</v>
      </c>
      <c r="N29" s="180">
        <v>0</v>
      </c>
      <c r="O29" s="181"/>
      <c r="P29" s="170"/>
    </row>
    <row r="30" spans="1:16" s="178" customFormat="1" ht="40.5">
      <c r="A30" s="172">
        <v>2112220</v>
      </c>
      <c r="B30" s="173" t="s">
        <v>168</v>
      </c>
      <c r="C30" s="174">
        <v>732200</v>
      </c>
      <c r="D30" s="175">
        <v>0</v>
      </c>
      <c r="E30" s="176">
        <v>0</v>
      </c>
      <c r="F30" s="177"/>
      <c r="G30" s="175">
        <v>0</v>
      </c>
      <c r="H30" s="176">
        <v>0</v>
      </c>
      <c r="I30" s="177"/>
      <c r="J30" s="175">
        <v>0</v>
      </c>
      <c r="K30" s="176">
        <v>0</v>
      </c>
      <c r="L30" s="177"/>
      <c r="M30" s="175">
        <v>0</v>
      </c>
      <c r="N30" s="176">
        <v>0</v>
      </c>
      <c r="O30" s="177"/>
      <c r="P30" s="170"/>
    </row>
    <row r="31" spans="1:16" s="171" customFormat="1" ht="27">
      <c r="A31" s="164">
        <v>2112300</v>
      </c>
      <c r="B31" s="165" t="s">
        <v>169</v>
      </c>
      <c r="C31" s="166" t="s">
        <v>163</v>
      </c>
      <c r="D31" s="167">
        <v>0</v>
      </c>
      <c r="E31" s="168">
        <v>0</v>
      </c>
      <c r="F31" s="169">
        <f>F32+F36</f>
        <v>0</v>
      </c>
      <c r="G31" s="167">
        <v>0</v>
      </c>
      <c r="H31" s="168">
        <v>0</v>
      </c>
      <c r="I31" s="169">
        <f>I32+I36</f>
        <v>0</v>
      </c>
      <c r="J31" s="167">
        <v>0</v>
      </c>
      <c r="K31" s="168">
        <v>0</v>
      </c>
      <c r="L31" s="169">
        <f>L32+L36</f>
        <v>0</v>
      </c>
      <c r="M31" s="167">
        <v>0</v>
      </c>
      <c r="N31" s="168">
        <v>0</v>
      </c>
      <c r="O31" s="169">
        <f>O32+O36</f>
        <v>0</v>
      </c>
      <c r="P31" s="170"/>
    </row>
    <row r="32" spans="1:16" s="178" customFormat="1" ht="40.5">
      <c r="A32" s="172">
        <v>2112310</v>
      </c>
      <c r="B32" s="173" t="s">
        <v>170</v>
      </c>
      <c r="C32" s="174">
        <v>733100</v>
      </c>
      <c r="D32" s="175">
        <v>0</v>
      </c>
      <c r="E32" s="176">
        <v>0</v>
      </c>
      <c r="F32" s="182">
        <f>F33+F35</f>
        <v>0</v>
      </c>
      <c r="G32" s="175">
        <v>0</v>
      </c>
      <c r="H32" s="176">
        <v>0</v>
      </c>
      <c r="I32" s="182">
        <f>I33+I35</f>
        <v>0</v>
      </c>
      <c r="J32" s="175">
        <v>0</v>
      </c>
      <c r="K32" s="176">
        <v>0</v>
      </c>
      <c r="L32" s="182">
        <f>L33+L35</f>
        <v>0</v>
      </c>
      <c r="M32" s="175">
        <v>0</v>
      </c>
      <c r="N32" s="176">
        <v>0</v>
      </c>
      <c r="O32" s="182">
        <f>O33+O35</f>
        <v>0</v>
      </c>
      <c r="P32" s="170"/>
    </row>
    <row r="33" spans="1:18" s="178" customFormat="1" ht="27">
      <c r="A33" s="172">
        <v>2112311</v>
      </c>
      <c r="B33" s="173" t="s">
        <v>171</v>
      </c>
      <c r="C33" s="174" t="s">
        <v>163</v>
      </c>
      <c r="D33" s="175">
        <v>0</v>
      </c>
      <c r="E33" s="176">
        <v>0</v>
      </c>
      <c r="F33" s="182">
        <f>F34</f>
        <v>0</v>
      </c>
      <c r="G33" s="175">
        <v>0</v>
      </c>
      <c r="H33" s="176">
        <v>0</v>
      </c>
      <c r="I33" s="182">
        <f>I34</f>
        <v>0</v>
      </c>
      <c r="J33" s="175">
        <v>0</v>
      </c>
      <c r="K33" s="176">
        <v>0</v>
      </c>
      <c r="L33" s="182">
        <f>L34</f>
        <v>0</v>
      </c>
      <c r="M33" s="175">
        <v>0</v>
      </c>
      <c r="N33" s="176">
        <v>0</v>
      </c>
      <c r="O33" s="182">
        <f>O34</f>
        <v>0</v>
      </c>
      <c r="P33" s="170"/>
    </row>
    <row r="34" spans="1:18" s="178" customFormat="1" ht="27">
      <c r="A34" s="172">
        <v>2112312</v>
      </c>
      <c r="B34" s="173" t="s">
        <v>172</v>
      </c>
      <c r="C34" s="174" t="s">
        <v>163</v>
      </c>
      <c r="D34" s="175">
        <v>0</v>
      </c>
      <c r="E34" s="176">
        <v>0</v>
      </c>
      <c r="F34" s="177"/>
      <c r="G34" s="175">
        <v>0</v>
      </c>
      <c r="H34" s="176">
        <v>0</v>
      </c>
      <c r="I34" s="177"/>
      <c r="J34" s="175">
        <v>0</v>
      </c>
      <c r="K34" s="176">
        <v>0</v>
      </c>
      <c r="L34" s="177"/>
      <c r="M34" s="175">
        <v>0</v>
      </c>
      <c r="N34" s="176">
        <v>0</v>
      </c>
      <c r="O34" s="177"/>
      <c r="P34" s="170" t="s">
        <v>173</v>
      </c>
    </row>
    <row r="35" spans="1:18" s="178" customFormat="1" ht="15.75">
      <c r="A35" s="172">
        <v>2112313</v>
      </c>
      <c r="B35" s="173" t="s">
        <v>174</v>
      </c>
      <c r="C35" s="174" t="s">
        <v>163</v>
      </c>
      <c r="D35" s="175">
        <v>0</v>
      </c>
      <c r="E35" s="176">
        <v>0</v>
      </c>
      <c r="F35" s="177"/>
      <c r="G35" s="175">
        <v>0</v>
      </c>
      <c r="H35" s="176">
        <v>0</v>
      </c>
      <c r="I35" s="177"/>
      <c r="J35" s="175">
        <v>0</v>
      </c>
      <c r="K35" s="176">
        <v>0</v>
      </c>
      <c r="L35" s="177"/>
      <c r="M35" s="175">
        <v>0</v>
      </c>
      <c r="N35" s="176">
        <v>0</v>
      </c>
      <c r="O35" s="177"/>
      <c r="P35" s="170" t="s">
        <v>175</v>
      </c>
    </row>
    <row r="36" spans="1:18" s="178" customFormat="1" ht="54">
      <c r="A36" s="172">
        <v>2112320</v>
      </c>
      <c r="B36" s="173" t="s">
        <v>176</v>
      </c>
      <c r="C36" s="174">
        <v>733200</v>
      </c>
      <c r="D36" s="175">
        <v>0</v>
      </c>
      <c r="E36" s="176">
        <v>0</v>
      </c>
      <c r="F36" s="182">
        <f>SUM(F37:F38)</f>
        <v>0</v>
      </c>
      <c r="G36" s="175">
        <v>0</v>
      </c>
      <c r="H36" s="176">
        <v>0</v>
      </c>
      <c r="I36" s="182">
        <f>SUM(I37:I38)</f>
        <v>0</v>
      </c>
      <c r="J36" s="175">
        <v>0</v>
      </c>
      <c r="K36" s="176">
        <v>0</v>
      </c>
      <c r="L36" s="182">
        <f>SUM(L37:L38)</f>
        <v>0</v>
      </c>
      <c r="M36" s="175">
        <v>0</v>
      </c>
      <c r="N36" s="176">
        <v>0</v>
      </c>
      <c r="O36" s="182">
        <f>SUM(O37:O38)</f>
        <v>0</v>
      </c>
      <c r="P36" s="170"/>
    </row>
    <row r="37" spans="1:18" s="178" customFormat="1" ht="15.75">
      <c r="A37" s="172">
        <v>2112321</v>
      </c>
      <c r="B37" s="173" t="s">
        <v>177</v>
      </c>
      <c r="C37" s="174" t="s">
        <v>163</v>
      </c>
      <c r="D37" s="175">
        <v>0</v>
      </c>
      <c r="E37" s="176">
        <v>0</v>
      </c>
      <c r="F37" s="177"/>
      <c r="G37" s="175">
        <v>0</v>
      </c>
      <c r="H37" s="176">
        <v>0</v>
      </c>
      <c r="I37" s="177"/>
      <c r="J37" s="175">
        <v>0</v>
      </c>
      <c r="K37" s="176">
        <v>0</v>
      </c>
      <c r="L37" s="177"/>
      <c r="M37" s="175">
        <v>0</v>
      </c>
      <c r="N37" s="176">
        <v>0</v>
      </c>
      <c r="O37" s="177"/>
      <c r="P37" s="170"/>
    </row>
    <row r="38" spans="1:18" s="178" customFormat="1" ht="15.75">
      <c r="A38" s="172">
        <v>2112322</v>
      </c>
      <c r="B38" s="173" t="s">
        <v>178</v>
      </c>
      <c r="C38" s="174" t="s">
        <v>163</v>
      </c>
      <c r="D38" s="175">
        <v>0</v>
      </c>
      <c r="E38" s="176">
        <v>0</v>
      </c>
      <c r="F38" s="177"/>
      <c r="G38" s="175">
        <v>0</v>
      </c>
      <c r="H38" s="176">
        <v>0</v>
      </c>
      <c r="I38" s="177"/>
      <c r="J38" s="175">
        <v>0</v>
      </c>
      <c r="K38" s="176">
        <v>0</v>
      </c>
      <c r="L38" s="177"/>
      <c r="M38" s="175">
        <v>0</v>
      </c>
      <c r="N38" s="176">
        <v>0</v>
      </c>
      <c r="O38" s="177"/>
      <c r="P38" s="170"/>
    </row>
    <row r="39" spans="1:18" s="178" customFormat="1" ht="27">
      <c r="A39" s="172">
        <v>2113000</v>
      </c>
      <c r="B39" s="159" t="s">
        <v>179</v>
      </c>
      <c r="C39" s="208" t="s">
        <v>160</v>
      </c>
      <c r="D39" s="209">
        <v>0</v>
      </c>
      <c r="E39" s="210">
        <v>0</v>
      </c>
      <c r="F39" s="211">
        <f>F40+F42+F46+F47+F51</f>
        <v>13025.7</v>
      </c>
      <c r="G39" s="209">
        <v>0</v>
      </c>
      <c r="H39" s="210">
        <v>0</v>
      </c>
      <c r="I39" s="211">
        <f>I40+I42+I46+I47+I51</f>
        <v>13025.7</v>
      </c>
      <c r="J39" s="209">
        <v>0</v>
      </c>
      <c r="K39" s="210">
        <v>0</v>
      </c>
      <c r="L39" s="211">
        <f>L40+L42+L46+L47+L51</f>
        <v>13025.7</v>
      </c>
      <c r="M39" s="211">
        <f t="shared" ref="M39:O39" si="0">M40+M42+M46+M47+M51</f>
        <v>1986</v>
      </c>
      <c r="N39" s="211">
        <f t="shared" si="0"/>
        <v>1986</v>
      </c>
      <c r="O39" s="211">
        <f t="shared" si="0"/>
        <v>13025.7</v>
      </c>
      <c r="P39" s="156"/>
      <c r="R39" s="183" t="e">
        <f>+#REF!-67326.3</f>
        <v>#REF!</v>
      </c>
    </row>
    <row r="40" spans="1:18" s="178" customFormat="1" ht="15.75">
      <c r="A40" s="172">
        <v>2113100</v>
      </c>
      <c r="B40" s="173" t="s">
        <v>180</v>
      </c>
      <c r="C40" s="212" t="s">
        <v>163</v>
      </c>
      <c r="D40" s="209">
        <v>0</v>
      </c>
      <c r="E40" s="210">
        <v>0</v>
      </c>
      <c r="F40" s="213">
        <v>3030</v>
      </c>
      <c r="G40" s="209">
        <v>0</v>
      </c>
      <c r="H40" s="210">
        <v>0</v>
      </c>
      <c r="I40" s="213">
        <v>3030</v>
      </c>
      <c r="J40" s="209">
        <v>0</v>
      </c>
      <c r="K40" s="210">
        <v>0</v>
      </c>
      <c r="L40" s="213">
        <v>3030</v>
      </c>
      <c r="M40" s="213">
        <f t="shared" ref="M40:O40" si="1">M41</f>
        <v>1986</v>
      </c>
      <c r="N40" s="213">
        <f t="shared" si="1"/>
        <v>1986</v>
      </c>
      <c r="O40" s="213">
        <v>3030</v>
      </c>
      <c r="P40" s="170"/>
    </row>
    <row r="41" spans="1:18" s="178" customFormat="1" ht="15.75">
      <c r="A41" s="172">
        <v>2113130</v>
      </c>
      <c r="B41" s="173" t="s">
        <v>181</v>
      </c>
      <c r="C41" s="212">
        <v>741500</v>
      </c>
      <c r="D41" s="209">
        <v>0</v>
      </c>
      <c r="E41" s="210">
        <v>0</v>
      </c>
      <c r="F41" s="214">
        <v>3030</v>
      </c>
      <c r="G41" s="209">
        <v>0</v>
      </c>
      <c r="H41" s="210">
        <v>0</v>
      </c>
      <c r="I41" s="214">
        <v>3030</v>
      </c>
      <c r="J41" s="214">
        <v>1986</v>
      </c>
      <c r="K41" s="214">
        <v>1986</v>
      </c>
      <c r="L41" s="214">
        <v>3030</v>
      </c>
      <c r="M41" s="214">
        <v>1986</v>
      </c>
      <c r="N41" s="214">
        <v>1986</v>
      </c>
      <c r="O41" s="214">
        <v>3030</v>
      </c>
      <c r="P41" s="170" t="s">
        <v>182</v>
      </c>
    </row>
    <row r="42" spans="1:18" s="178" customFormat="1" ht="27">
      <c r="A42" s="172">
        <v>2113200</v>
      </c>
      <c r="B42" s="173" t="s">
        <v>183</v>
      </c>
      <c r="C42" s="212" t="s">
        <v>163</v>
      </c>
      <c r="D42" s="209">
        <v>0</v>
      </c>
      <c r="E42" s="210">
        <v>0</v>
      </c>
      <c r="F42" s="213">
        <f t="shared" ref="F42:H42" si="2">SUM(F43:F44)</f>
        <v>0</v>
      </c>
      <c r="G42" s="213">
        <f t="shared" si="2"/>
        <v>0</v>
      </c>
      <c r="H42" s="213">
        <f t="shared" si="2"/>
        <v>0</v>
      </c>
      <c r="I42" s="213">
        <f>SUM(I43:I44)</f>
        <v>0</v>
      </c>
      <c r="J42" s="209">
        <v>0</v>
      </c>
      <c r="K42" s="210">
        <v>0</v>
      </c>
      <c r="L42" s="213">
        <f>SUM(L43:L44)</f>
        <v>0</v>
      </c>
      <c r="M42" s="209">
        <v>0</v>
      </c>
      <c r="N42" s="210">
        <v>0</v>
      </c>
      <c r="O42" s="213">
        <f>SUM(O43:O44)</f>
        <v>0</v>
      </c>
      <c r="P42" s="170" t="s">
        <v>184</v>
      </c>
    </row>
    <row r="43" spans="1:18" s="178" customFormat="1" ht="40.5">
      <c r="A43" s="172">
        <v>2113210</v>
      </c>
      <c r="B43" s="173" t="s">
        <v>185</v>
      </c>
      <c r="C43" s="212">
        <v>742100</v>
      </c>
      <c r="D43" s="209">
        <v>0</v>
      </c>
      <c r="E43" s="210">
        <v>0</v>
      </c>
      <c r="F43" s="214">
        <v>0</v>
      </c>
      <c r="G43" s="209">
        <v>0</v>
      </c>
      <c r="H43" s="210">
        <v>0</v>
      </c>
      <c r="I43" s="214">
        <v>0</v>
      </c>
      <c r="J43" s="209">
        <v>0</v>
      </c>
      <c r="K43" s="210">
        <v>0</v>
      </c>
      <c r="L43" s="214">
        <v>0</v>
      </c>
      <c r="M43" s="209">
        <v>0</v>
      </c>
      <c r="N43" s="210">
        <v>0</v>
      </c>
      <c r="O43" s="214">
        <v>0</v>
      </c>
      <c r="P43" s="170" t="s">
        <v>184</v>
      </c>
    </row>
    <row r="44" spans="1:18" s="178" customFormat="1" ht="15.75">
      <c r="A44" s="172">
        <v>2113240</v>
      </c>
      <c r="B44" s="173" t="s">
        <v>186</v>
      </c>
      <c r="C44" s="212">
        <v>742200</v>
      </c>
      <c r="D44" s="209">
        <v>0</v>
      </c>
      <c r="E44" s="210">
        <v>0</v>
      </c>
      <c r="F44" s="213">
        <f>F45</f>
        <v>0</v>
      </c>
      <c r="G44" s="209">
        <v>0</v>
      </c>
      <c r="H44" s="210">
        <v>0</v>
      </c>
      <c r="I44" s="213">
        <f>I45</f>
        <v>0</v>
      </c>
      <c r="J44" s="209">
        <v>0</v>
      </c>
      <c r="K44" s="210">
        <v>0</v>
      </c>
      <c r="L44" s="213">
        <f>L45</f>
        <v>0</v>
      </c>
      <c r="M44" s="209">
        <v>0</v>
      </c>
      <c r="N44" s="210">
        <v>0</v>
      </c>
      <c r="O44" s="213">
        <f>O45</f>
        <v>0</v>
      </c>
      <c r="P44" s="170"/>
    </row>
    <row r="45" spans="1:18" s="178" customFormat="1" ht="15.75">
      <c r="A45" s="172">
        <v>2113242</v>
      </c>
      <c r="B45" s="173" t="s">
        <v>187</v>
      </c>
      <c r="C45" s="212" t="s">
        <v>163</v>
      </c>
      <c r="D45" s="209">
        <v>0</v>
      </c>
      <c r="E45" s="210">
        <v>0</v>
      </c>
      <c r="F45" s="214"/>
      <c r="G45" s="209">
        <v>0</v>
      </c>
      <c r="H45" s="210">
        <v>0</v>
      </c>
      <c r="I45" s="214"/>
      <c r="J45" s="209">
        <v>0</v>
      </c>
      <c r="K45" s="210">
        <v>0</v>
      </c>
      <c r="L45" s="214"/>
      <c r="M45" s="209">
        <v>0</v>
      </c>
      <c r="N45" s="210">
        <v>0</v>
      </c>
      <c r="O45" s="214"/>
      <c r="P45" s="170"/>
    </row>
    <row r="46" spans="1:18" s="178" customFormat="1" ht="15.75">
      <c r="A46" s="172">
        <v>2113300</v>
      </c>
      <c r="B46" s="173" t="s">
        <v>188</v>
      </c>
      <c r="C46" s="212" t="s">
        <v>163</v>
      </c>
      <c r="D46" s="209">
        <v>0</v>
      </c>
      <c r="E46" s="210">
        <v>0</v>
      </c>
      <c r="F46" s="214"/>
      <c r="G46" s="209">
        <v>0</v>
      </c>
      <c r="H46" s="210">
        <v>0</v>
      </c>
      <c r="I46" s="214"/>
      <c r="J46" s="209">
        <v>0</v>
      </c>
      <c r="K46" s="210">
        <v>0</v>
      </c>
      <c r="L46" s="214"/>
      <c r="M46" s="209">
        <v>0</v>
      </c>
      <c r="N46" s="210">
        <v>0</v>
      </c>
      <c r="O46" s="214"/>
      <c r="P46" s="170"/>
    </row>
    <row r="47" spans="1:18" s="178" customFormat="1" ht="27">
      <c r="A47" s="172">
        <v>2113400</v>
      </c>
      <c r="B47" s="173" t="s">
        <v>189</v>
      </c>
      <c r="C47" s="212" t="s">
        <v>163</v>
      </c>
      <c r="D47" s="209">
        <v>0</v>
      </c>
      <c r="E47" s="210">
        <v>0</v>
      </c>
      <c r="F47" s="213">
        <f>F48+F50</f>
        <v>9995.7000000000007</v>
      </c>
      <c r="G47" s="209">
        <v>0</v>
      </c>
      <c r="H47" s="210">
        <v>0</v>
      </c>
      <c r="I47" s="213">
        <f>I48+I50</f>
        <v>9995.7000000000007</v>
      </c>
      <c r="J47" s="209">
        <v>0</v>
      </c>
      <c r="K47" s="210">
        <v>0</v>
      </c>
      <c r="L47" s="213">
        <f>L48+L50</f>
        <v>9995.7000000000007</v>
      </c>
      <c r="M47" s="209">
        <v>0</v>
      </c>
      <c r="N47" s="210">
        <v>0</v>
      </c>
      <c r="O47" s="213">
        <f>O48+O50</f>
        <v>9995.7000000000007</v>
      </c>
      <c r="P47" s="170"/>
    </row>
    <row r="48" spans="1:18" s="178" customFormat="1" ht="27">
      <c r="A48" s="172">
        <v>2113410</v>
      </c>
      <c r="B48" s="173" t="s">
        <v>190</v>
      </c>
      <c r="C48" s="212">
        <v>744100</v>
      </c>
      <c r="D48" s="209">
        <v>0</v>
      </c>
      <c r="E48" s="210">
        <v>0</v>
      </c>
      <c r="F48" s="213">
        <f>F49</f>
        <v>9995.7000000000007</v>
      </c>
      <c r="G48" s="209">
        <v>0</v>
      </c>
      <c r="H48" s="210">
        <v>0</v>
      </c>
      <c r="I48" s="213">
        <f>I49</f>
        <v>9995.7000000000007</v>
      </c>
      <c r="J48" s="209">
        <v>0</v>
      </c>
      <c r="K48" s="210">
        <v>0</v>
      </c>
      <c r="L48" s="213">
        <f>L49</f>
        <v>9995.7000000000007</v>
      </c>
      <c r="M48" s="209">
        <v>0</v>
      </c>
      <c r="N48" s="210">
        <v>0</v>
      </c>
      <c r="O48" s="213">
        <f>O49</f>
        <v>9995.7000000000007</v>
      </c>
      <c r="P48" s="170"/>
    </row>
    <row r="49" spans="1:16" s="178" customFormat="1" ht="15.75">
      <c r="A49" s="172">
        <v>2113411</v>
      </c>
      <c r="B49" s="173" t="s">
        <v>191</v>
      </c>
      <c r="C49" s="212" t="s">
        <v>163</v>
      </c>
      <c r="D49" s="209">
        <v>0</v>
      </c>
      <c r="E49" s="210">
        <v>0</v>
      </c>
      <c r="F49" s="214">
        <v>9995.7000000000007</v>
      </c>
      <c r="G49" s="209">
        <v>0</v>
      </c>
      <c r="H49" s="210">
        <v>0</v>
      </c>
      <c r="I49" s="214">
        <v>9995.7000000000007</v>
      </c>
      <c r="J49" s="209">
        <v>0</v>
      </c>
      <c r="K49" s="210">
        <v>0</v>
      </c>
      <c r="L49" s="214">
        <v>9995.7000000000007</v>
      </c>
      <c r="M49" s="209">
        <v>0</v>
      </c>
      <c r="N49" s="210">
        <v>0</v>
      </c>
      <c r="O49" s="214">
        <v>9995.7000000000007</v>
      </c>
      <c r="P49" s="170" t="s">
        <v>24</v>
      </c>
    </row>
    <row r="50" spans="1:16" s="178" customFormat="1" ht="27">
      <c r="A50" s="172">
        <v>2113420</v>
      </c>
      <c r="B50" s="173" t="s">
        <v>192</v>
      </c>
      <c r="C50" s="212">
        <v>744200</v>
      </c>
      <c r="D50" s="209">
        <v>0</v>
      </c>
      <c r="E50" s="210">
        <v>0</v>
      </c>
      <c r="F50" s="214"/>
      <c r="G50" s="209">
        <v>0</v>
      </c>
      <c r="H50" s="210">
        <v>0</v>
      </c>
      <c r="I50" s="214"/>
      <c r="J50" s="209">
        <v>0</v>
      </c>
      <c r="K50" s="210">
        <v>0</v>
      </c>
      <c r="L50" s="214"/>
      <c r="M50" s="209">
        <v>0</v>
      </c>
      <c r="N50" s="210">
        <v>0</v>
      </c>
      <c r="O50" s="214"/>
      <c r="P50" s="170"/>
    </row>
    <row r="51" spans="1:16" s="178" customFormat="1" ht="27">
      <c r="A51" s="172">
        <v>2113500</v>
      </c>
      <c r="B51" s="173" t="s">
        <v>193</v>
      </c>
      <c r="C51" s="212" t="s">
        <v>163</v>
      </c>
      <c r="D51" s="209">
        <v>0</v>
      </c>
      <c r="E51" s="210">
        <v>0</v>
      </c>
      <c r="F51" s="214">
        <v>0</v>
      </c>
      <c r="G51" s="209">
        <v>0</v>
      </c>
      <c r="H51" s="210">
        <v>0</v>
      </c>
      <c r="I51" s="214">
        <v>0</v>
      </c>
      <c r="J51" s="209">
        <v>0</v>
      </c>
      <c r="K51" s="210">
        <v>0</v>
      </c>
      <c r="L51" s="214">
        <v>0</v>
      </c>
      <c r="M51" s="209">
        <v>0</v>
      </c>
      <c r="N51" s="210">
        <v>0</v>
      </c>
      <c r="O51" s="214">
        <v>0</v>
      </c>
      <c r="P51" s="170" t="s">
        <v>25</v>
      </c>
    </row>
    <row r="52" spans="1:16" s="157" customFormat="1" ht="40.5">
      <c r="A52" s="158">
        <v>1000000</v>
      </c>
      <c r="B52" s="159" t="s">
        <v>194</v>
      </c>
      <c r="C52" s="208" t="s">
        <v>160</v>
      </c>
      <c r="D52" s="215">
        <v>0</v>
      </c>
      <c r="E52" s="216">
        <v>0</v>
      </c>
      <c r="F52" s="211">
        <v>20764</v>
      </c>
      <c r="G52" s="215">
        <v>0</v>
      </c>
      <c r="H52" s="216">
        <v>0</v>
      </c>
      <c r="I52" s="211">
        <v>20764</v>
      </c>
      <c r="J52" s="215">
        <v>0</v>
      </c>
      <c r="K52" s="216">
        <v>0</v>
      </c>
      <c r="L52" s="211">
        <v>20764</v>
      </c>
      <c r="M52" s="215">
        <v>0</v>
      </c>
      <c r="N52" s="216">
        <v>0</v>
      </c>
      <c r="O52" s="211">
        <v>20764</v>
      </c>
      <c r="P52" s="156"/>
    </row>
    <row r="53" spans="1:16" s="157" customFormat="1" ht="67.5">
      <c r="A53" s="158">
        <v>1100000</v>
      </c>
      <c r="B53" s="159" t="s">
        <v>195</v>
      </c>
      <c r="C53" s="208" t="s">
        <v>160</v>
      </c>
      <c r="D53" s="215">
        <v>0</v>
      </c>
      <c r="E53" s="216">
        <v>0</v>
      </c>
      <c r="F53" s="211">
        <v>20764</v>
      </c>
      <c r="G53" s="215">
        <v>0</v>
      </c>
      <c r="H53" s="216">
        <v>0</v>
      </c>
      <c r="I53" s="211">
        <v>20764</v>
      </c>
      <c r="J53" s="215">
        <v>0</v>
      </c>
      <c r="K53" s="216">
        <v>0</v>
      </c>
      <c r="L53" s="211">
        <v>20764</v>
      </c>
      <c r="M53" s="215">
        <v>0</v>
      </c>
      <c r="N53" s="216">
        <v>0</v>
      </c>
      <c r="O53" s="211">
        <v>20764</v>
      </c>
      <c r="P53" s="156"/>
    </row>
    <row r="54" spans="1:16" s="157" customFormat="1" ht="54">
      <c r="A54" s="158">
        <v>1110000</v>
      </c>
      <c r="B54" s="159" t="s">
        <v>196</v>
      </c>
      <c r="C54" s="208" t="s">
        <v>160</v>
      </c>
      <c r="D54" s="215">
        <v>0</v>
      </c>
      <c r="E54" s="216">
        <v>0</v>
      </c>
      <c r="F54" s="211">
        <f>SUM(F55:F59)</f>
        <v>16214</v>
      </c>
      <c r="G54" s="215">
        <v>0</v>
      </c>
      <c r="H54" s="216">
        <v>0</v>
      </c>
      <c r="I54" s="211">
        <f>SUM(I55:I59)</f>
        <v>16214</v>
      </c>
      <c r="J54" s="215">
        <v>0</v>
      </c>
      <c r="K54" s="216">
        <v>0</v>
      </c>
      <c r="L54" s="211">
        <f>SUM(L55:L59)</f>
        <v>16214</v>
      </c>
      <c r="M54" s="215">
        <v>0</v>
      </c>
      <c r="N54" s="216">
        <v>0</v>
      </c>
      <c r="O54" s="211">
        <f>SUM(O55:O59)</f>
        <v>16214</v>
      </c>
      <c r="P54" s="156"/>
    </row>
    <row r="55" spans="1:16" s="178" customFormat="1" ht="31.5">
      <c r="A55" s="172">
        <v>1111000</v>
      </c>
      <c r="B55" s="173" t="s">
        <v>197</v>
      </c>
      <c r="C55" s="212" t="s">
        <v>198</v>
      </c>
      <c r="D55" s="209">
        <v>0</v>
      </c>
      <c r="E55" s="210">
        <v>0</v>
      </c>
      <c r="F55" s="214">
        <v>16214</v>
      </c>
      <c r="G55" s="214"/>
      <c r="H55" s="214"/>
      <c r="I55" s="214">
        <v>16214</v>
      </c>
      <c r="J55" s="214"/>
      <c r="K55" s="214"/>
      <c r="L55" s="214">
        <v>16214</v>
      </c>
      <c r="M55" s="214"/>
      <c r="N55" s="214"/>
      <c r="O55" s="214">
        <v>16214</v>
      </c>
      <c r="P55" s="170" t="s">
        <v>199</v>
      </c>
    </row>
    <row r="56" spans="1:16" s="178" customFormat="1" ht="31.5">
      <c r="A56" s="172">
        <v>1112000</v>
      </c>
      <c r="B56" s="173" t="s">
        <v>200</v>
      </c>
      <c r="C56" s="212" t="s">
        <v>201</v>
      </c>
      <c r="D56" s="209">
        <v>0</v>
      </c>
      <c r="E56" s="210">
        <v>0</v>
      </c>
      <c r="F56" s="214"/>
      <c r="G56" s="209">
        <v>0</v>
      </c>
      <c r="H56" s="210">
        <v>0</v>
      </c>
      <c r="I56" s="214"/>
      <c r="J56" s="209">
        <v>0</v>
      </c>
      <c r="K56" s="210">
        <v>0</v>
      </c>
      <c r="L56" s="214"/>
      <c r="M56" s="209">
        <v>0</v>
      </c>
      <c r="N56" s="210">
        <v>0</v>
      </c>
      <c r="O56" s="214"/>
      <c r="P56" s="170" t="s">
        <v>202</v>
      </c>
    </row>
    <row r="57" spans="1:16" s="178" customFormat="1" ht="27">
      <c r="A57" s="172">
        <v>1113000</v>
      </c>
      <c r="B57" s="173" t="s">
        <v>203</v>
      </c>
      <c r="C57" s="212">
        <v>411300</v>
      </c>
      <c r="D57" s="209">
        <v>0</v>
      </c>
      <c r="E57" s="210">
        <v>0</v>
      </c>
      <c r="F57" s="214"/>
      <c r="G57" s="209">
        <v>0</v>
      </c>
      <c r="H57" s="210">
        <v>0</v>
      </c>
      <c r="I57" s="214"/>
      <c r="J57" s="209">
        <v>0</v>
      </c>
      <c r="K57" s="210">
        <v>0</v>
      </c>
      <c r="L57" s="214"/>
      <c r="M57" s="209">
        <v>0</v>
      </c>
      <c r="N57" s="210">
        <v>0</v>
      </c>
      <c r="O57" s="214"/>
      <c r="P57" s="170"/>
    </row>
    <row r="58" spans="1:16" s="178" customFormat="1" ht="15.75">
      <c r="A58" s="172">
        <v>1115000</v>
      </c>
      <c r="B58" s="173" t="s">
        <v>204</v>
      </c>
      <c r="C58" s="212">
        <v>411500</v>
      </c>
      <c r="D58" s="209">
        <v>0</v>
      </c>
      <c r="E58" s="210">
        <v>0</v>
      </c>
      <c r="F58" s="214"/>
      <c r="G58" s="209">
        <v>0</v>
      </c>
      <c r="H58" s="210">
        <v>0</v>
      </c>
      <c r="I58" s="214"/>
      <c r="J58" s="209">
        <v>0</v>
      </c>
      <c r="K58" s="210">
        <v>0</v>
      </c>
      <c r="L58" s="214"/>
      <c r="M58" s="209">
        <v>0</v>
      </c>
      <c r="N58" s="210">
        <v>0</v>
      </c>
      <c r="O58" s="214"/>
      <c r="P58" s="170"/>
    </row>
    <row r="59" spans="1:16" s="178" customFormat="1" ht="15.75">
      <c r="A59" s="172">
        <v>1116000</v>
      </c>
      <c r="B59" s="173" t="s">
        <v>205</v>
      </c>
      <c r="C59" s="212">
        <v>412100</v>
      </c>
      <c r="D59" s="209">
        <v>0</v>
      </c>
      <c r="E59" s="210">
        <v>0</v>
      </c>
      <c r="F59" s="214"/>
      <c r="G59" s="209">
        <v>0</v>
      </c>
      <c r="H59" s="210">
        <v>0</v>
      </c>
      <c r="I59" s="214"/>
      <c r="J59" s="209">
        <v>0</v>
      </c>
      <c r="K59" s="210">
        <v>0</v>
      </c>
      <c r="L59" s="214"/>
      <c r="M59" s="209">
        <v>0</v>
      </c>
      <c r="N59" s="210">
        <v>0</v>
      </c>
      <c r="O59" s="214"/>
      <c r="P59" s="170"/>
    </row>
    <row r="60" spans="1:16" s="157" customFormat="1" ht="67.5">
      <c r="A60" s="158">
        <v>1120000</v>
      </c>
      <c r="B60" s="159" t="s">
        <v>206</v>
      </c>
      <c r="C60" s="208" t="s">
        <v>160</v>
      </c>
      <c r="D60" s="215">
        <v>0</v>
      </c>
      <c r="E60" s="216">
        <v>0</v>
      </c>
      <c r="F60" s="211">
        <f>F61+F69+F73+F82+F84+F87</f>
        <v>4490</v>
      </c>
      <c r="G60" s="215">
        <v>0</v>
      </c>
      <c r="H60" s="216">
        <v>0</v>
      </c>
      <c r="I60" s="211">
        <f>I61+I69+I73+I82+I84+I87</f>
        <v>4490</v>
      </c>
      <c r="J60" s="215">
        <v>0</v>
      </c>
      <c r="K60" s="216">
        <v>0</v>
      </c>
      <c r="L60" s="211">
        <f>L61+L69+L73+L82+L84+L87</f>
        <v>4490</v>
      </c>
      <c r="M60" s="215">
        <v>0</v>
      </c>
      <c r="N60" s="216">
        <v>0</v>
      </c>
      <c r="O60" s="211">
        <f>O61+O69+O73+O82+O84+O87</f>
        <v>4490</v>
      </c>
      <c r="P60" s="156"/>
    </row>
    <row r="61" spans="1:16" s="186" customFormat="1" ht="16.5">
      <c r="A61" s="184">
        <v>1121000</v>
      </c>
      <c r="B61" s="185" t="s">
        <v>207</v>
      </c>
      <c r="C61" s="217" t="s">
        <v>163</v>
      </c>
      <c r="D61" s="218">
        <v>0</v>
      </c>
      <c r="E61" s="219">
        <v>0</v>
      </c>
      <c r="F61" s="220">
        <f>SUM(F62:F68)</f>
        <v>4140</v>
      </c>
      <c r="G61" s="218">
        <v>0</v>
      </c>
      <c r="H61" s="219">
        <v>0</v>
      </c>
      <c r="I61" s="220">
        <f>SUM(I62:I68)</f>
        <v>4140</v>
      </c>
      <c r="J61" s="218">
        <v>0</v>
      </c>
      <c r="K61" s="219">
        <v>0</v>
      </c>
      <c r="L61" s="220">
        <f>SUM(L62:L68)</f>
        <v>4140</v>
      </c>
      <c r="M61" s="218">
        <v>0</v>
      </c>
      <c r="N61" s="219">
        <v>0</v>
      </c>
      <c r="O61" s="220">
        <f>SUM(O62:O68)</f>
        <v>4140</v>
      </c>
      <c r="P61" s="156"/>
    </row>
    <row r="62" spans="1:16" s="178" customFormat="1" ht="27">
      <c r="A62" s="172">
        <v>1121100</v>
      </c>
      <c r="B62" s="173" t="s">
        <v>208</v>
      </c>
      <c r="C62" s="212">
        <v>421100</v>
      </c>
      <c r="D62" s="209">
        <v>0</v>
      </c>
      <c r="E62" s="210">
        <v>0</v>
      </c>
      <c r="F62" s="214"/>
      <c r="G62" s="209">
        <v>0</v>
      </c>
      <c r="H62" s="210">
        <v>0</v>
      </c>
      <c r="I62" s="214"/>
      <c r="J62" s="209">
        <v>0</v>
      </c>
      <c r="K62" s="210">
        <v>0</v>
      </c>
      <c r="L62" s="214"/>
      <c r="M62" s="209">
        <v>0</v>
      </c>
      <c r="N62" s="210">
        <v>0</v>
      </c>
      <c r="O62" s="214"/>
      <c r="P62" s="187" t="s">
        <v>209</v>
      </c>
    </row>
    <row r="63" spans="1:16" s="178" customFormat="1" ht="15.75">
      <c r="A63" s="172">
        <v>1121200</v>
      </c>
      <c r="B63" s="165" t="s">
        <v>210</v>
      </c>
      <c r="C63" s="212">
        <v>421200</v>
      </c>
      <c r="D63" s="209">
        <v>0</v>
      </c>
      <c r="E63" s="210">
        <v>0</v>
      </c>
      <c r="F63" s="214">
        <f>1200+2800</f>
        <v>4000</v>
      </c>
      <c r="G63" s="209">
        <v>0</v>
      </c>
      <c r="H63" s="210">
        <v>0</v>
      </c>
      <c r="I63" s="214">
        <v>4000</v>
      </c>
      <c r="J63" s="214">
        <f t="shared" ref="J63:N63" si="3">530+2800</f>
        <v>3330</v>
      </c>
      <c r="K63" s="214">
        <f t="shared" si="3"/>
        <v>3330</v>
      </c>
      <c r="L63" s="214">
        <v>4000</v>
      </c>
      <c r="M63" s="214">
        <f t="shared" si="3"/>
        <v>3330</v>
      </c>
      <c r="N63" s="214">
        <f t="shared" si="3"/>
        <v>3330</v>
      </c>
      <c r="O63" s="214">
        <v>4000</v>
      </c>
      <c r="P63" s="170" t="s">
        <v>211</v>
      </c>
    </row>
    <row r="64" spans="1:16" s="178" customFormat="1" ht="15.75">
      <c r="A64" s="172">
        <v>1121300</v>
      </c>
      <c r="B64" s="173" t="s">
        <v>212</v>
      </c>
      <c r="C64" s="212">
        <v>421300</v>
      </c>
      <c r="D64" s="209">
        <v>0</v>
      </c>
      <c r="E64" s="210">
        <v>0</v>
      </c>
      <c r="F64" s="214">
        <v>90</v>
      </c>
      <c r="G64" s="209">
        <v>0</v>
      </c>
      <c r="H64" s="210">
        <v>0</v>
      </c>
      <c r="I64" s="214">
        <v>90</v>
      </c>
      <c r="J64" s="209">
        <v>0</v>
      </c>
      <c r="K64" s="210">
        <v>0</v>
      </c>
      <c r="L64" s="214">
        <v>90</v>
      </c>
      <c r="M64" s="209">
        <v>0</v>
      </c>
      <c r="N64" s="210">
        <v>0</v>
      </c>
      <c r="O64" s="214">
        <v>90</v>
      </c>
      <c r="P64" s="170" t="s">
        <v>213</v>
      </c>
    </row>
    <row r="65" spans="1:25" s="178" customFormat="1" ht="15.75">
      <c r="A65" s="172">
        <v>1121400</v>
      </c>
      <c r="B65" s="173" t="s">
        <v>214</v>
      </c>
      <c r="C65" s="212">
        <v>421400</v>
      </c>
      <c r="D65" s="209">
        <v>0</v>
      </c>
      <c r="E65" s="210">
        <v>0</v>
      </c>
      <c r="F65" s="214">
        <v>50</v>
      </c>
      <c r="G65" s="209">
        <v>0</v>
      </c>
      <c r="H65" s="210">
        <v>0</v>
      </c>
      <c r="I65" s="214">
        <v>50</v>
      </c>
      <c r="J65" s="209">
        <v>0</v>
      </c>
      <c r="K65" s="210">
        <v>0</v>
      </c>
      <c r="L65" s="214">
        <v>50</v>
      </c>
      <c r="M65" s="209">
        <v>0</v>
      </c>
      <c r="N65" s="210">
        <v>0</v>
      </c>
      <c r="O65" s="214">
        <v>50</v>
      </c>
      <c r="P65" s="170" t="s">
        <v>215</v>
      </c>
    </row>
    <row r="66" spans="1:25" s="178" customFormat="1" ht="15.75">
      <c r="A66" s="172">
        <v>1121500</v>
      </c>
      <c r="B66" s="173" t="s">
        <v>216</v>
      </c>
      <c r="C66" s="212">
        <v>421500</v>
      </c>
      <c r="D66" s="209">
        <v>0</v>
      </c>
      <c r="E66" s="210">
        <v>0</v>
      </c>
      <c r="F66" s="214"/>
      <c r="G66" s="209">
        <v>0</v>
      </c>
      <c r="H66" s="210">
        <v>0</v>
      </c>
      <c r="I66" s="214"/>
      <c r="J66" s="209">
        <v>0</v>
      </c>
      <c r="K66" s="210">
        <v>0</v>
      </c>
      <c r="L66" s="214"/>
      <c r="M66" s="209">
        <v>0</v>
      </c>
      <c r="N66" s="210">
        <v>0</v>
      </c>
      <c r="O66" s="214"/>
      <c r="P66" s="170" t="s">
        <v>26</v>
      </c>
    </row>
    <row r="67" spans="1:25" s="178" customFormat="1" ht="15.75">
      <c r="A67" s="172">
        <v>1121600</v>
      </c>
      <c r="B67" s="173" t="s">
        <v>217</v>
      </c>
      <c r="C67" s="212">
        <v>421600</v>
      </c>
      <c r="D67" s="209">
        <v>0</v>
      </c>
      <c r="E67" s="210">
        <v>0</v>
      </c>
      <c r="F67" s="214"/>
      <c r="G67" s="209">
        <v>0</v>
      </c>
      <c r="H67" s="210">
        <v>0</v>
      </c>
      <c r="I67" s="214"/>
      <c r="J67" s="209">
        <v>0</v>
      </c>
      <c r="K67" s="210">
        <v>0</v>
      </c>
      <c r="L67" s="214"/>
      <c r="M67" s="209">
        <v>0</v>
      </c>
      <c r="N67" s="210">
        <v>0</v>
      </c>
      <c r="O67" s="214"/>
      <c r="P67" s="170" t="s">
        <v>218</v>
      </c>
    </row>
    <row r="68" spans="1:25" s="178" customFormat="1" ht="15.75">
      <c r="A68" s="172">
        <v>1121700</v>
      </c>
      <c r="B68" s="173" t="s">
        <v>219</v>
      </c>
      <c r="C68" s="212">
        <v>421700</v>
      </c>
      <c r="D68" s="209">
        <v>0</v>
      </c>
      <c r="E68" s="210">
        <v>0</v>
      </c>
      <c r="F68" s="214"/>
      <c r="G68" s="209">
        <v>0</v>
      </c>
      <c r="H68" s="210">
        <v>0</v>
      </c>
      <c r="I68" s="214"/>
      <c r="J68" s="209">
        <v>0</v>
      </c>
      <c r="K68" s="210">
        <v>0</v>
      </c>
      <c r="L68" s="214"/>
      <c r="M68" s="209">
        <v>0</v>
      </c>
      <c r="N68" s="210">
        <v>0</v>
      </c>
      <c r="O68" s="214"/>
      <c r="P68" s="170" t="s">
        <v>27</v>
      </c>
    </row>
    <row r="69" spans="1:25" s="186" customFormat="1" ht="27">
      <c r="A69" s="184">
        <v>1122000</v>
      </c>
      <c r="B69" s="185" t="s">
        <v>220</v>
      </c>
      <c r="C69" s="217" t="s">
        <v>163</v>
      </c>
      <c r="D69" s="218">
        <v>0</v>
      </c>
      <c r="E69" s="219">
        <v>0</v>
      </c>
      <c r="F69" s="220">
        <f>SUM(F70:F72)</f>
        <v>0</v>
      </c>
      <c r="G69" s="218">
        <v>0</v>
      </c>
      <c r="H69" s="219">
        <v>0</v>
      </c>
      <c r="I69" s="220">
        <f>SUM(I70:I72)</f>
        <v>0</v>
      </c>
      <c r="J69" s="218">
        <v>0</v>
      </c>
      <c r="K69" s="219">
        <v>0</v>
      </c>
      <c r="L69" s="220">
        <f>SUM(L70:L72)</f>
        <v>0</v>
      </c>
      <c r="M69" s="218">
        <v>0</v>
      </c>
      <c r="N69" s="219">
        <v>0</v>
      </c>
      <c r="O69" s="220">
        <f>SUM(O70:O72)</f>
        <v>0</v>
      </c>
      <c r="P69" s="156"/>
    </row>
    <row r="70" spans="1:25" s="178" customFormat="1" ht="15.75">
      <c r="A70" s="172">
        <v>1122100</v>
      </c>
      <c r="B70" s="173" t="s">
        <v>221</v>
      </c>
      <c r="C70" s="212">
        <v>422100</v>
      </c>
      <c r="D70" s="209">
        <v>0</v>
      </c>
      <c r="E70" s="210">
        <v>0</v>
      </c>
      <c r="F70" s="214"/>
      <c r="G70" s="209">
        <v>0</v>
      </c>
      <c r="H70" s="210">
        <v>0</v>
      </c>
      <c r="I70" s="214"/>
      <c r="J70" s="209">
        <v>0</v>
      </c>
      <c r="K70" s="210">
        <v>0</v>
      </c>
      <c r="L70" s="214"/>
      <c r="M70" s="209">
        <v>0</v>
      </c>
      <c r="N70" s="210">
        <v>0</v>
      </c>
      <c r="O70" s="214"/>
      <c r="P70" s="170"/>
    </row>
    <row r="71" spans="1:25" s="178" customFormat="1" ht="15.75">
      <c r="A71" s="172">
        <v>1122200</v>
      </c>
      <c r="B71" s="173" t="s">
        <v>222</v>
      </c>
      <c r="C71" s="212">
        <v>422200</v>
      </c>
      <c r="D71" s="209">
        <v>0</v>
      </c>
      <c r="E71" s="210">
        <v>0</v>
      </c>
      <c r="F71" s="214"/>
      <c r="G71" s="209">
        <v>0</v>
      </c>
      <c r="H71" s="210">
        <v>0</v>
      </c>
      <c r="I71" s="214"/>
      <c r="J71" s="209">
        <v>0</v>
      </c>
      <c r="K71" s="210">
        <v>0</v>
      </c>
      <c r="L71" s="214"/>
      <c r="M71" s="209">
        <v>0</v>
      </c>
      <c r="N71" s="210">
        <v>0</v>
      </c>
      <c r="O71" s="214"/>
      <c r="P71" s="170"/>
    </row>
    <row r="72" spans="1:25" s="178" customFormat="1" ht="15.75">
      <c r="A72" s="172">
        <v>1122300</v>
      </c>
      <c r="B72" s="173" t="s">
        <v>223</v>
      </c>
      <c r="C72" s="212">
        <v>422900</v>
      </c>
      <c r="D72" s="209">
        <v>0</v>
      </c>
      <c r="E72" s="210">
        <v>0</v>
      </c>
      <c r="F72" s="214"/>
      <c r="G72" s="209">
        <v>0</v>
      </c>
      <c r="H72" s="210">
        <v>0</v>
      </c>
      <c r="I72" s="214"/>
      <c r="J72" s="209">
        <v>0</v>
      </c>
      <c r="K72" s="210">
        <v>0</v>
      </c>
      <c r="L72" s="214"/>
      <c r="M72" s="209">
        <v>0</v>
      </c>
      <c r="N72" s="210">
        <v>0</v>
      </c>
      <c r="O72" s="214"/>
      <c r="P72" s="170"/>
    </row>
    <row r="73" spans="1:25" s="186" customFormat="1" ht="27">
      <c r="A73" s="184">
        <v>1123000</v>
      </c>
      <c r="B73" s="185" t="s">
        <v>224</v>
      </c>
      <c r="C73" s="217" t="s">
        <v>163</v>
      </c>
      <c r="D73" s="218">
        <v>0</v>
      </c>
      <c r="E73" s="219">
        <v>0</v>
      </c>
      <c r="F73" s="220">
        <f>SUM(F74:F81)</f>
        <v>40</v>
      </c>
      <c r="G73" s="218">
        <v>0</v>
      </c>
      <c r="H73" s="219">
        <v>0</v>
      </c>
      <c r="I73" s="220">
        <f>SUM(I74:I81)</f>
        <v>40</v>
      </c>
      <c r="J73" s="218">
        <v>0</v>
      </c>
      <c r="K73" s="219">
        <v>0</v>
      </c>
      <c r="L73" s="220">
        <f>SUM(L74:L81)</f>
        <v>40</v>
      </c>
      <c r="M73" s="218">
        <v>0</v>
      </c>
      <c r="N73" s="219">
        <v>0</v>
      </c>
      <c r="O73" s="220">
        <f>SUM(O74:O81)</f>
        <v>40</v>
      </c>
      <c r="P73" s="156"/>
    </row>
    <row r="74" spans="1:25" s="178" customFormat="1" ht="15.75">
      <c r="A74" s="172">
        <v>1123100</v>
      </c>
      <c r="B74" s="173" t="s">
        <v>225</v>
      </c>
      <c r="C74" s="212">
        <v>423100</v>
      </c>
      <c r="D74" s="209">
        <v>0</v>
      </c>
      <c r="E74" s="210">
        <v>0</v>
      </c>
      <c r="F74" s="214"/>
      <c r="G74" s="209">
        <v>0</v>
      </c>
      <c r="H74" s="210">
        <v>0</v>
      </c>
      <c r="I74" s="214"/>
      <c r="J74" s="209">
        <v>0</v>
      </c>
      <c r="K74" s="210">
        <v>0</v>
      </c>
      <c r="L74" s="214"/>
      <c r="M74" s="209">
        <v>0</v>
      </c>
      <c r="N74" s="210">
        <v>0</v>
      </c>
      <c r="O74" s="214"/>
      <c r="P74" s="170" t="s">
        <v>226</v>
      </c>
    </row>
    <row r="75" spans="1:25" s="178" customFormat="1" ht="15.75">
      <c r="A75" s="172">
        <v>1123200</v>
      </c>
      <c r="B75" s="173" t="s">
        <v>227</v>
      </c>
      <c r="C75" s="212">
        <v>423200</v>
      </c>
      <c r="D75" s="209">
        <v>0</v>
      </c>
      <c r="E75" s="210">
        <v>0</v>
      </c>
      <c r="F75" s="214"/>
      <c r="G75" s="209"/>
      <c r="H75" s="210"/>
      <c r="I75" s="214"/>
      <c r="J75" s="209"/>
      <c r="K75" s="210"/>
      <c r="L75" s="214"/>
      <c r="M75" s="209"/>
      <c r="N75" s="210"/>
      <c r="O75" s="214"/>
      <c r="P75" s="170" t="s">
        <v>28</v>
      </c>
      <c r="Y75" s="178">
        <v>105</v>
      </c>
    </row>
    <row r="76" spans="1:25" s="178" customFormat="1" ht="27">
      <c r="A76" s="172">
        <v>1123300</v>
      </c>
      <c r="B76" s="173" t="s">
        <v>228</v>
      </c>
      <c r="C76" s="212">
        <v>423300</v>
      </c>
      <c r="D76" s="209">
        <v>0</v>
      </c>
      <c r="E76" s="210">
        <v>0</v>
      </c>
      <c r="F76" s="214"/>
      <c r="G76" s="209">
        <v>0</v>
      </c>
      <c r="H76" s="210">
        <v>0</v>
      </c>
      <c r="I76" s="214"/>
      <c r="J76" s="209">
        <v>0</v>
      </c>
      <c r="K76" s="210">
        <v>0</v>
      </c>
      <c r="L76" s="214"/>
      <c r="M76" s="209">
        <v>0</v>
      </c>
      <c r="N76" s="210">
        <v>0</v>
      </c>
      <c r="O76" s="214"/>
      <c r="P76" s="170" t="s">
        <v>229</v>
      </c>
    </row>
    <row r="77" spans="1:25" s="178" customFormat="1" ht="15.75">
      <c r="A77" s="172">
        <v>1123400</v>
      </c>
      <c r="B77" s="173" t="s">
        <v>230</v>
      </c>
      <c r="C77" s="212">
        <v>423400</v>
      </c>
      <c r="D77" s="209">
        <v>0</v>
      </c>
      <c r="E77" s="210">
        <v>0</v>
      </c>
      <c r="F77" s="214">
        <v>40</v>
      </c>
      <c r="G77" s="209">
        <v>0</v>
      </c>
      <c r="H77" s="210">
        <v>0</v>
      </c>
      <c r="I77" s="214">
        <v>40</v>
      </c>
      <c r="J77" s="209"/>
      <c r="K77" s="210"/>
      <c r="L77" s="214">
        <v>40</v>
      </c>
      <c r="M77" s="209"/>
      <c r="N77" s="210"/>
      <c r="O77" s="214">
        <v>40</v>
      </c>
      <c r="P77" s="170" t="s">
        <v>231</v>
      </c>
    </row>
    <row r="78" spans="1:25" s="178" customFormat="1" ht="15.75">
      <c r="A78" s="172">
        <v>1123500</v>
      </c>
      <c r="B78" s="173" t="s">
        <v>232</v>
      </c>
      <c r="C78" s="212">
        <v>423500</v>
      </c>
      <c r="D78" s="209">
        <v>0</v>
      </c>
      <c r="E78" s="210">
        <v>0</v>
      </c>
      <c r="F78" s="214"/>
      <c r="G78" s="209">
        <v>0</v>
      </c>
      <c r="H78" s="210">
        <v>0</v>
      </c>
      <c r="I78" s="214"/>
      <c r="J78" s="209">
        <v>0</v>
      </c>
      <c r="K78" s="210">
        <v>0</v>
      </c>
      <c r="L78" s="214"/>
      <c r="M78" s="209">
        <v>0</v>
      </c>
      <c r="N78" s="210">
        <v>0</v>
      </c>
      <c r="O78" s="214"/>
      <c r="P78" s="170" t="s">
        <v>233</v>
      </c>
    </row>
    <row r="79" spans="1:25" s="178" customFormat="1" ht="15.75">
      <c r="A79" s="172">
        <v>1123600</v>
      </c>
      <c r="B79" s="173" t="s">
        <v>234</v>
      </c>
      <c r="C79" s="212">
        <v>423600</v>
      </c>
      <c r="D79" s="209">
        <v>0</v>
      </c>
      <c r="E79" s="210">
        <v>0</v>
      </c>
      <c r="F79" s="214"/>
      <c r="G79" s="209">
        <v>0</v>
      </c>
      <c r="H79" s="210">
        <v>0</v>
      </c>
      <c r="I79" s="214"/>
      <c r="J79" s="209">
        <v>0</v>
      </c>
      <c r="K79" s="210">
        <v>0</v>
      </c>
      <c r="L79" s="214"/>
      <c r="M79" s="209">
        <v>0</v>
      </c>
      <c r="N79" s="210">
        <v>0</v>
      </c>
      <c r="O79" s="214"/>
      <c r="P79" s="170" t="s">
        <v>235</v>
      </c>
    </row>
    <row r="80" spans="1:25" s="178" customFormat="1" ht="15.75">
      <c r="A80" s="172">
        <v>1123700</v>
      </c>
      <c r="B80" s="173" t="s">
        <v>236</v>
      </c>
      <c r="C80" s="212">
        <v>423700</v>
      </c>
      <c r="D80" s="209">
        <v>0</v>
      </c>
      <c r="E80" s="210">
        <v>0</v>
      </c>
      <c r="F80" s="214"/>
      <c r="G80" s="209">
        <v>0</v>
      </c>
      <c r="H80" s="210">
        <v>0</v>
      </c>
      <c r="I80" s="214"/>
      <c r="J80" s="209">
        <v>0</v>
      </c>
      <c r="K80" s="210">
        <v>0</v>
      </c>
      <c r="L80" s="214"/>
      <c r="M80" s="209">
        <v>0</v>
      </c>
      <c r="N80" s="210">
        <v>0</v>
      </c>
      <c r="O80" s="214"/>
      <c r="P80" s="170" t="s">
        <v>29</v>
      </c>
    </row>
    <row r="81" spans="1:16" s="178" customFormat="1" ht="15.75">
      <c r="A81" s="172">
        <v>1123800</v>
      </c>
      <c r="B81" s="173" t="s">
        <v>237</v>
      </c>
      <c r="C81" s="212">
        <v>423900</v>
      </c>
      <c r="D81" s="209">
        <v>0</v>
      </c>
      <c r="E81" s="210">
        <v>0</v>
      </c>
      <c r="F81" s="214"/>
      <c r="G81" s="209">
        <v>0</v>
      </c>
      <c r="H81" s="210">
        <v>0</v>
      </c>
      <c r="I81" s="214"/>
      <c r="J81" s="209">
        <v>0</v>
      </c>
      <c r="K81" s="210">
        <v>0</v>
      </c>
      <c r="L81" s="214"/>
      <c r="M81" s="209">
        <v>0</v>
      </c>
      <c r="N81" s="210">
        <v>0</v>
      </c>
      <c r="O81" s="214"/>
      <c r="P81" s="170" t="s">
        <v>238</v>
      </c>
    </row>
    <row r="82" spans="1:16" s="186" customFormat="1" ht="27">
      <c r="A82" s="184">
        <v>1124000</v>
      </c>
      <c r="B82" s="185" t="s">
        <v>239</v>
      </c>
      <c r="C82" s="217" t="s">
        <v>163</v>
      </c>
      <c r="D82" s="218">
        <v>0</v>
      </c>
      <c r="E82" s="219">
        <v>0</v>
      </c>
      <c r="F82" s="220">
        <f>F83</f>
        <v>180</v>
      </c>
      <c r="G82" s="218">
        <v>0</v>
      </c>
      <c r="H82" s="219">
        <v>0</v>
      </c>
      <c r="I82" s="220">
        <f>I83</f>
        <v>180</v>
      </c>
      <c r="J82" s="218">
        <v>0</v>
      </c>
      <c r="K82" s="219">
        <v>0</v>
      </c>
      <c r="L82" s="220">
        <f>L83</f>
        <v>180</v>
      </c>
      <c r="M82" s="218">
        <v>0</v>
      </c>
      <c r="N82" s="219">
        <v>0</v>
      </c>
      <c r="O82" s="220">
        <f>O83</f>
        <v>180</v>
      </c>
      <c r="P82" s="156"/>
    </row>
    <row r="83" spans="1:16" s="178" customFormat="1" ht="15.75">
      <c r="A83" s="172">
        <v>1124100</v>
      </c>
      <c r="B83" s="173" t="s">
        <v>240</v>
      </c>
      <c r="C83" s="212">
        <v>424100</v>
      </c>
      <c r="D83" s="209">
        <v>0</v>
      </c>
      <c r="E83" s="210">
        <v>0</v>
      </c>
      <c r="F83" s="214">
        <f>80+100</f>
        <v>180</v>
      </c>
      <c r="G83" s="209">
        <v>0</v>
      </c>
      <c r="H83" s="210">
        <v>0</v>
      </c>
      <c r="I83" s="214">
        <v>180</v>
      </c>
      <c r="J83" s="209">
        <v>0</v>
      </c>
      <c r="K83" s="210">
        <v>0</v>
      </c>
      <c r="L83" s="214">
        <v>180</v>
      </c>
      <c r="M83" s="209">
        <v>0</v>
      </c>
      <c r="N83" s="210">
        <v>0</v>
      </c>
      <c r="O83" s="214">
        <v>180</v>
      </c>
      <c r="P83" s="170" t="s">
        <v>241</v>
      </c>
    </row>
    <row r="84" spans="1:16" s="186" customFormat="1" ht="27">
      <c r="A84" s="184">
        <v>1125000</v>
      </c>
      <c r="B84" s="185" t="s">
        <v>242</v>
      </c>
      <c r="C84" s="217" t="s">
        <v>163</v>
      </c>
      <c r="D84" s="218">
        <v>0</v>
      </c>
      <c r="E84" s="219">
        <v>0</v>
      </c>
      <c r="F84" s="220">
        <f>SUM(F85:F86)</f>
        <v>80</v>
      </c>
      <c r="G84" s="218">
        <v>0</v>
      </c>
      <c r="H84" s="219">
        <v>0</v>
      </c>
      <c r="I84" s="220">
        <f>SUM(I85:I86)</f>
        <v>80</v>
      </c>
      <c r="J84" s="218">
        <v>0</v>
      </c>
      <c r="K84" s="219">
        <v>0</v>
      </c>
      <c r="L84" s="220">
        <f>SUM(L85:L86)</f>
        <v>80</v>
      </c>
      <c r="M84" s="218">
        <v>0</v>
      </c>
      <c r="N84" s="219">
        <v>0</v>
      </c>
      <c r="O84" s="220">
        <f>SUM(O85:O86)</f>
        <v>80</v>
      </c>
      <c r="P84" s="170"/>
    </row>
    <row r="85" spans="1:16" s="178" customFormat="1" ht="27">
      <c r="A85" s="172">
        <v>1125100</v>
      </c>
      <c r="B85" s="173" t="s">
        <v>243</v>
      </c>
      <c r="C85" s="212">
        <v>425100</v>
      </c>
      <c r="D85" s="209">
        <v>0</v>
      </c>
      <c r="E85" s="210">
        <v>0</v>
      </c>
      <c r="F85" s="214">
        <v>30</v>
      </c>
      <c r="G85" s="209"/>
      <c r="H85" s="210"/>
      <c r="I85" s="214">
        <v>30</v>
      </c>
      <c r="J85" s="209"/>
      <c r="K85" s="210"/>
      <c r="L85" s="214">
        <v>30</v>
      </c>
      <c r="M85" s="209"/>
      <c r="N85" s="210"/>
      <c r="O85" s="214">
        <v>30</v>
      </c>
      <c r="P85" s="170" t="s">
        <v>30</v>
      </c>
    </row>
    <row r="86" spans="1:16" s="178" customFormat="1" ht="27">
      <c r="A86" s="172">
        <v>1125200</v>
      </c>
      <c r="B86" s="173" t="s">
        <v>244</v>
      </c>
      <c r="C86" s="212">
        <v>425200</v>
      </c>
      <c r="D86" s="209">
        <v>0</v>
      </c>
      <c r="E86" s="210">
        <v>0</v>
      </c>
      <c r="F86" s="214">
        <v>50</v>
      </c>
      <c r="G86" s="209">
        <v>0</v>
      </c>
      <c r="H86" s="210">
        <v>0</v>
      </c>
      <c r="I86" s="214">
        <v>50</v>
      </c>
      <c r="J86" s="209">
        <v>0</v>
      </c>
      <c r="K86" s="210">
        <v>0</v>
      </c>
      <c r="L86" s="214">
        <v>50</v>
      </c>
      <c r="M86" s="209">
        <v>0</v>
      </c>
      <c r="N86" s="210">
        <v>0</v>
      </c>
      <c r="O86" s="214">
        <v>50</v>
      </c>
      <c r="P86" s="170" t="s">
        <v>245</v>
      </c>
    </row>
    <row r="87" spans="1:16" s="186" customFormat="1" ht="16.5">
      <c r="A87" s="184">
        <v>1126000</v>
      </c>
      <c r="B87" s="185" t="s">
        <v>246</v>
      </c>
      <c r="C87" s="217" t="s">
        <v>163</v>
      </c>
      <c r="D87" s="218">
        <v>0</v>
      </c>
      <c r="E87" s="219">
        <v>0</v>
      </c>
      <c r="F87" s="220">
        <f>SUM(F88:F95)</f>
        <v>50</v>
      </c>
      <c r="G87" s="218">
        <v>0</v>
      </c>
      <c r="H87" s="219">
        <v>0</v>
      </c>
      <c r="I87" s="220">
        <f>SUM(I88:I95)</f>
        <v>50</v>
      </c>
      <c r="J87" s="218">
        <v>0</v>
      </c>
      <c r="K87" s="219">
        <v>0</v>
      </c>
      <c r="L87" s="220">
        <f>SUM(L88:L95)</f>
        <v>50</v>
      </c>
      <c r="M87" s="218">
        <v>0</v>
      </c>
      <c r="N87" s="219">
        <v>0</v>
      </c>
      <c r="O87" s="220">
        <f>SUM(O88:O95)</f>
        <v>50</v>
      </c>
      <c r="P87" s="170"/>
    </row>
    <row r="88" spans="1:16" s="178" customFormat="1" ht="15.75">
      <c r="A88" s="172">
        <v>1126100</v>
      </c>
      <c r="B88" s="173" t="s">
        <v>247</v>
      </c>
      <c r="C88" s="212">
        <v>426100</v>
      </c>
      <c r="D88" s="209">
        <v>0</v>
      </c>
      <c r="E88" s="210">
        <v>0</v>
      </c>
      <c r="F88" s="214">
        <v>50</v>
      </c>
      <c r="G88" s="209"/>
      <c r="H88" s="210"/>
      <c r="I88" s="214">
        <v>50</v>
      </c>
      <c r="J88" s="209"/>
      <c r="K88" s="210"/>
      <c r="L88" s="214">
        <v>50</v>
      </c>
      <c r="M88" s="209"/>
      <c r="N88" s="210"/>
      <c r="O88" s="214">
        <v>50</v>
      </c>
      <c r="P88" s="170" t="s">
        <v>248</v>
      </c>
    </row>
    <row r="89" spans="1:16" s="178" customFormat="1" ht="15.75">
      <c r="A89" s="172">
        <v>1126200</v>
      </c>
      <c r="B89" s="173" t="s">
        <v>249</v>
      </c>
      <c r="C89" s="212">
        <v>426200</v>
      </c>
      <c r="D89" s="209">
        <v>0</v>
      </c>
      <c r="E89" s="210">
        <v>0</v>
      </c>
      <c r="F89" s="214"/>
      <c r="G89" s="209">
        <v>0</v>
      </c>
      <c r="H89" s="210">
        <v>0</v>
      </c>
      <c r="I89" s="214"/>
      <c r="J89" s="209">
        <v>0</v>
      </c>
      <c r="K89" s="210">
        <v>0</v>
      </c>
      <c r="L89" s="214"/>
      <c r="M89" s="209">
        <v>0</v>
      </c>
      <c r="N89" s="210">
        <v>0</v>
      </c>
      <c r="O89" s="214"/>
      <c r="P89" s="170"/>
    </row>
    <row r="90" spans="1:16" s="178" customFormat="1" ht="27">
      <c r="A90" s="172">
        <v>1126300</v>
      </c>
      <c r="B90" s="173" t="s">
        <v>250</v>
      </c>
      <c r="C90" s="212" t="s">
        <v>251</v>
      </c>
      <c r="D90" s="209">
        <v>0</v>
      </c>
      <c r="E90" s="210">
        <v>0</v>
      </c>
      <c r="F90" s="214"/>
      <c r="G90" s="209">
        <v>0</v>
      </c>
      <c r="H90" s="210">
        <v>0</v>
      </c>
      <c r="I90" s="214"/>
      <c r="J90" s="209">
        <v>0</v>
      </c>
      <c r="K90" s="210">
        <v>0</v>
      </c>
      <c r="L90" s="214"/>
      <c r="M90" s="209">
        <v>0</v>
      </c>
      <c r="N90" s="210">
        <v>0</v>
      </c>
      <c r="O90" s="214"/>
      <c r="P90" s="170"/>
    </row>
    <row r="91" spans="1:16" s="178" customFormat="1" ht="15.75">
      <c r="A91" s="172">
        <v>1126400</v>
      </c>
      <c r="B91" s="173" t="s">
        <v>252</v>
      </c>
      <c r="C91" s="212">
        <v>426400</v>
      </c>
      <c r="D91" s="209">
        <v>0</v>
      </c>
      <c r="E91" s="210">
        <v>0</v>
      </c>
      <c r="F91" s="214"/>
      <c r="G91" s="209">
        <v>0</v>
      </c>
      <c r="H91" s="210">
        <v>0</v>
      </c>
      <c r="I91" s="214"/>
      <c r="J91" s="209">
        <v>0</v>
      </c>
      <c r="K91" s="210">
        <v>0</v>
      </c>
      <c r="L91" s="214"/>
      <c r="M91" s="209">
        <v>0</v>
      </c>
      <c r="N91" s="210">
        <v>0</v>
      </c>
      <c r="O91" s="214"/>
      <c r="P91" s="170" t="s">
        <v>32</v>
      </c>
    </row>
    <row r="92" spans="1:16" s="178" customFormat="1" ht="27">
      <c r="A92" s="172">
        <v>1126500</v>
      </c>
      <c r="B92" s="173" t="s">
        <v>253</v>
      </c>
      <c r="C92" s="212">
        <v>426500</v>
      </c>
      <c r="D92" s="209">
        <v>0</v>
      </c>
      <c r="E92" s="210">
        <v>0</v>
      </c>
      <c r="F92" s="214"/>
      <c r="G92" s="209">
        <v>0</v>
      </c>
      <c r="H92" s="210">
        <v>0</v>
      </c>
      <c r="I92" s="214"/>
      <c r="J92" s="209">
        <v>0</v>
      </c>
      <c r="K92" s="210">
        <v>0</v>
      </c>
      <c r="L92" s="214"/>
      <c r="M92" s="209">
        <v>0</v>
      </c>
      <c r="N92" s="210">
        <v>0</v>
      </c>
      <c r="O92" s="214"/>
      <c r="P92" s="170"/>
    </row>
    <row r="93" spans="1:16" s="178" customFormat="1" ht="15.75">
      <c r="A93" s="172">
        <v>1126600</v>
      </c>
      <c r="B93" s="173" t="s">
        <v>254</v>
      </c>
      <c r="C93" s="212">
        <v>426600</v>
      </c>
      <c r="D93" s="209">
        <v>0</v>
      </c>
      <c r="E93" s="210">
        <v>0</v>
      </c>
      <c r="F93" s="214"/>
      <c r="G93" s="209">
        <v>0</v>
      </c>
      <c r="H93" s="210">
        <v>0</v>
      </c>
      <c r="I93" s="214"/>
      <c r="J93" s="209">
        <v>0</v>
      </c>
      <c r="K93" s="210">
        <v>0</v>
      </c>
      <c r="L93" s="214"/>
      <c r="M93" s="209">
        <v>0</v>
      </c>
      <c r="N93" s="210">
        <v>0</v>
      </c>
      <c r="O93" s="214"/>
      <c r="P93" s="170"/>
    </row>
    <row r="94" spans="1:16" s="178" customFormat="1" ht="15.75">
      <c r="A94" s="172">
        <v>1126700</v>
      </c>
      <c r="B94" s="173" t="s">
        <v>255</v>
      </c>
      <c r="C94" s="212">
        <v>426700</v>
      </c>
      <c r="D94" s="209">
        <v>0</v>
      </c>
      <c r="E94" s="210">
        <v>0</v>
      </c>
      <c r="F94" s="214"/>
      <c r="G94" s="209"/>
      <c r="H94" s="210"/>
      <c r="I94" s="214"/>
      <c r="J94" s="209"/>
      <c r="K94" s="210"/>
      <c r="L94" s="214"/>
      <c r="M94" s="209"/>
      <c r="N94" s="210"/>
      <c r="O94" s="214"/>
      <c r="P94" s="170" t="s">
        <v>31</v>
      </c>
    </row>
    <row r="95" spans="1:16" s="178" customFormat="1" ht="15.75">
      <c r="A95" s="172">
        <v>1126800</v>
      </c>
      <c r="B95" s="173" t="s">
        <v>256</v>
      </c>
      <c r="C95" s="212">
        <v>426900</v>
      </c>
      <c r="D95" s="209">
        <v>0</v>
      </c>
      <c r="E95" s="210">
        <v>0</v>
      </c>
      <c r="F95" s="214"/>
      <c r="G95" s="209"/>
      <c r="H95" s="210"/>
      <c r="I95" s="214"/>
      <c r="J95" s="209"/>
      <c r="K95" s="210"/>
      <c r="L95" s="214"/>
      <c r="M95" s="209"/>
      <c r="N95" s="210"/>
      <c r="O95" s="214"/>
      <c r="P95" s="170" t="s">
        <v>257</v>
      </c>
    </row>
    <row r="96" spans="1:16" s="186" customFormat="1" ht="27">
      <c r="A96" s="184">
        <v>1140000</v>
      </c>
      <c r="B96" s="185" t="s">
        <v>258</v>
      </c>
      <c r="C96" s="217" t="s">
        <v>160</v>
      </c>
      <c r="D96" s="218">
        <v>0</v>
      </c>
      <c r="E96" s="219">
        <v>0</v>
      </c>
      <c r="F96" s="220">
        <f>SUM(F97:F100)</f>
        <v>0</v>
      </c>
      <c r="G96" s="218">
        <v>0</v>
      </c>
      <c r="H96" s="219">
        <v>0</v>
      </c>
      <c r="I96" s="220">
        <f>SUM(I97:I100)</f>
        <v>0</v>
      </c>
      <c r="J96" s="218">
        <v>0</v>
      </c>
      <c r="K96" s="219">
        <v>0</v>
      </c>
      <c r="L96" s="220">
        <f>SUM(L97:L100)</f>
        <v>0</v>
      </c>
      <c r="M96" s="218">
        <v>0</v>
      </c>
      <c r="N96" s="219">
        <v>0</v>
      </c>
      <c r="O96" s="220">
        <f>SUM(O97:O100)</f>
        <v>0</v>
      </c>
      <c r="P96" s="156"/>
    </row>
    <row r="97" spans="1:16" s="178" customFormat="1" ht="27">
      <c r="A97" s="172">
        <v>1141000</v>
      </c>
      <c r="B97" s="188" t="s">
        <v>259</v>
      </c>
      <c r="C97" s="212">
        <v>451100</v>
      </c>
      <c r="D97" s="209">
        <v>0</v>
      </c>
      <c r="E97" s="210">
        <v>0</v>
      </c>
      <c r="F97" s="214"/>
      <c r="G97" s="209">
        <v>0</v>
      </c>
      <c r="H97" s="210">
        <v>0</v>
      </c>
      <c r="I97" s="214"/>
      <c r="J97" s="209">
        <v>0</v>
      </c>
      <c r="K97" s="210">
        <v>0</v>
      </c>
      <c r="L97" s="214"/>
      <c r="M97" s="209">
        <v>0</v>
      </c>
      <c r="N97" s="210">
        <v>0</v>
      </c>
      <c r="O97" s="214"/>
      <c r="P97" s="170"/>
    </row>
    <row r="98" spans="1:16" s="178" customFormat="1" ht="27">
      <c r="A98" s="172">
        <v>1142000</v>
      </c>
      <c r="B98" s="188" t="s">
        <v>260</v>
      </c>
      <c r="C98" s="212">
        <v>451200</v>
      </c>
      <c r="D98" s="209">
        <v>0</v>
      </c>
      <c r="E98" s="210">
        <v>0</v>
      </c>
      <c r="F98" s="214"/>
      <c r="G98" s="209">
        <v>0</v>
      </c>
      <c r="H98" s="210">
        <v>0</v>
      </c>
      <c r="I98" s="214"/>
      <c r="J98" s="209">
        <v>0</v>
      </c>
      <c r="K98" s="210">
        <v>0</v>
      </c>
      <c r="L98" s="214"/>
      <c r="M98" s="209">
        <v>0</v>
      </c>
      <c r="N98" s="210">
        <v>0</v>
      </c>
      <c r="O98" s="214"/>
      <c r="P98" s="170"/>
    </row>
    <row r="99" spans="1:16" s="178" customFormat="1" ht="27">
      <c r="A99" s="172">
        <v>1143000</v>
      </c>
      <c r="B99" s="173" t="s">
        <v>261</v>
      </c>
      <c r="C99" s="212">
        <v>452100</v>
      </c>
      <c r="D99" s="209">
        <v>0</v>
      </c>
      <c r="E99" s="210">
        <v>0</v>
      </c>
      <c r="F99" s="214"/>
      <c r="G99" s="209">
        <v>0</v>
      </c>
      <c r="H99" s="210">
        <v>0</v>
      </c>
      <c r="I99" s="214"/>
      <c r="J99" s="209">
        <v>0</v>
      </c>
      <c r="K99" s="210">
        <v>0</v>
      </c>
      <c r="L99" s="214"/>
      <c r="M99" s="209">
        <v>0</v>
      </c>
      <c r="N99" s="210">
        <v>0</v>
      </c>
      <c r="O99" s="214"/>
      <c r="P99" s="170"/>
    </row>
    <row r="100" spans="1:16" s="178" customFormat="1" ht="27">
      <c r="A100" s="172">
        <v>1144000</v>
      </c>
      <c r="B100" s="173" t="s">
        <v>262</v>
      </c>
      <c r="C100" s="212">
        <v>452200</v>
      </c>
      <c r="D100" s="209">
        <v>0</v>
      </c>
      <c r="E100" s="210">
        <v>0</v>
      </c>
      <c r="F100" s="214"/>
      <c r="G100" s="209">
        <v>0</v>
      </c>
      <c r="H100" s="210">
        <v>0</v>
      </c>
      <c r="I100" s="214"/>
      <c r="J100" s="209">
        <v>0</v>
      </c>
      <c r="K100" s="210">
        <v>0</v>
      </c>
      <c r="L100" s="214"/>
      <c r="M100" s="209">
        <v>0</v>
      </c>
      <c r="N100" s="210">
        <v>0</v>
      </c>
      <c r="O100" s="214"/>
      <c r="P100" s="170"/>
    </row>
    <row r="101" spans="1:16" s="157" customFormat="1" ht="27">
      <c r="A101" s="158">
        <v>1150000</v>
      </c>
      <c r="B101" s="159" t="s">
        <v>263</v>
      </c>
      <c r="C101" s="208" t="s">
        <v>160</v>
      </c>
      <c r="D101" s="215">
        <v>0</v>
      </c>
      <c r="E101" s="216">
        <v>0</v>
      </c>
      <c r="F101" s="211">
        <f>F102+F107</f>
        <v>0</v>
      </c>
      <c r="G101" s="215">
        <v>0</v>
      </c>
      <c r="H101" s="216">
        <v>0</v>
      </c>
      <c r="I101" s="211">
        <f>I102+I107</f>
        <v>0</v>
      </c>
      <c r="J101" s="215">
        <v>0</v>
      </c>
      <c r="K101" s="216">
        <v>0</v>
      </c>
      <c r="L101" s="211">
        <f>L102+L107</f>
        <v>0</v>
      </c>
      <c r="M101" s="215">
        <v>0</v>
      </c>
      <c r="N101" s="216">
        <v>0</v>
      </c>
      <c r="O101" s="211">
        <f>O102+O107</f>
        <v>0</v>
      </c>
      <c r="P101" s="156"/>
    </row>
    <row r="102" spans="1:16" s="186" customFormat="1" ht="27">
      <c r="A102" s="184">
        <v>1153000</v>
      </c>
      <c r="B102" s="185" t="s">
        <v>264</v>
      </c>
      <c r="C102" s="217" t="s">
        <v>163</v>
      </c>
      <c r="D102" s="218">
        <v>0</v>
      </c>
      <c r="E102" s="219">
        <v>0</v>
      </c>
      <c r="F102" s="220">
        <f>SUM(F103:F106)</f>
        <v>0</v>
      </c>
      <c r="G102" s="218">
        <v>0</v>
      </c>
      <c r="H102" s="219">
        <v>0</v>
      </c>
      <c r="I102" s="220">
        <f>SUM(I103:I106)</f>
        <v>0</v>
      </c>
      <c r="J102" s="218">
        <v>0</v>
      </c>
      <c r="K102" s="219">
        <v>0</v>
      </c>
      <c r="L102" s="220">
        <f>SUM(L103:L106)</f>
        <v>0</v>
      </c>
      <c r="M102" s="218">
        <v>0</v>
      </c>
      <c r="N102" s="219">
        <v>0</v>
      </c>
      <c r="O102" s="220">
        <f>SUM(O103:O106)</f>
        <v>0</v>
      </c>
      <c r="P102" s="170"/>
    </row>
    <row r="103" spans="1:16" s="178" customFormat="1" ht="15.75">
      <c r="A103" s="172">
        <v>1153500</v>
      </c>
      <c r="B103" s="173" t="s">
        <v>265</v>
      </c>
      <c r="C103" s="212">
        <v>463500</v>
      </c>
      <c r="D103" s="209">
        <v>0</v>
      </c>
      <c r="E103" s="210">
        <v>0</v>
      </c>
      <c r="F103" s="214"/>
      <c r="G103" s="209">
        <v>0</v>
      </c>
      <c r="H103" s="210">
        <v>0</v>
      </c>
      <c r="I103" s="214"/>
      <c r="J103" s="209">
        <v>0</v>
      </c>
      <c r="K103" s="210">
        <v>0</v>
      </c>
      <c r="L103" s="214"/>
      <c r="M103" s="209">
        <v>0</v>
      </c>
      <c r="N103" s="210">
        <v>0</v>
      </c>
      <c r="O103" s="214"/>
      <c r="P103" s="170"/>
    </row>
    <row r="104" spans="1:16" s="178" customFormat="1" ht="40.5">
      <c r="A104" s="172">
        <v>1153600</v>
      </c>
      <c r="B104" s="173" t="s">
        <v>266</v>
      </c>
      <c r="C104" s="212">
        <v>463700</v>
      </c>
      <c r="D104" s="209">
        <v>0</v>
      </c>
      <c r="E104" s="210">
        <v>0</v>
      </c>
      <c r="F104" s="214"/>
      <c r="G104" s="209">
        <v>0</v>
      </c>
      <c r="H104" s="210">
        <v>0</v>
      </c>
      <c r="I104" s="214"/>
      <c r="J104" s="209">
        <v>0</v>
      </c>
      <c r="K104" s="210">
        <v>0</v>
      </c>
      <c r="L104" s="214"/>
      <c r="M104" s="209">
        <v>0</v>
      </c>
      <c r="N104" s="210">
        <v>0</v>
      </c>
      <c r="O104" s="214"/>
      <c r="P104" s="170"/>
    </row>
    <row r="105" spans="1:16" s="178" customFormat="1" ht="27">
      <c r="A105" s="172">
        <v>115370</v>
      </c>
      <c r="B105" s="173" t="s">
        <v>267</v>
      </c>
      <c r="C105" s="212">
        <v>463800</v>
      </c>
      <c r="D105" s="209">
        <v>0</v>
      </c>
      <c r="E105" s="210">
        <v>0</v>
      </c>
      <c r="F105" s="214"/>
      <c r="G105" s="209">
        <v>0</v>
      </c>
      <c r="H105" s="210">
        <v>0</v>
      </c>
      <c r="I105" s="214"/>
      <c r="J105" s="209">
        <v>0</v>
      </c>
      <c r="K105" s="210">
        <v>0</v>
      </c>
      <c r="L105" s="214"/>
      <c r="M105" s="209">
        <v>0</v>
      </c>
      <c r="N105" s="210">
        <v>0</v>
      </c>
      <c r="O105" s="214"/>
      <c r="P105" s="170"/>
    </row>
    <row r="106" spans="1:16" s="178" customFormat="1" ht="15.75">
      <c r="A106" s="172">
        <v>1153800</v>
      </c>
      <c r="B106" s="173" t="s">
        <v>268</v>
      </c>
      <c r="C106" s="212">
        <v>463900</v>
      </c>
      <c r="D106" s="209">
        <v>0</v>
      </c>
      <c r="E106" s="210">
        <v>0</v>
      </c>
      <c r="F106" s="214"/>
      <c r="G106" s="209">
        <v>0</v>
      </c>
      <c r="H106" s="210">
        <v>0</v>
      </c>
      <c r="I106" s="214"/>
      <c r="J106" s="209">
        <v>0</v>
      </c>
      <c r="K106" s="210">
        <v>0</v>
      </c>
      <c r="L106" s="214"/>
      <c r="M106" s="209">
        <v>0</v>
      </c>
      <c r="N106" s="210">
        <v>0</v>
      </c>
      <c r="O106" s="214"/>
      <c r="P106" s="170"/>
    </row>
    <row r="107" spans="1:16" s="186" customFormat="1" ht="27">
      <c r="A107" s="184">
        <v>1154000</v>
      </c>
      <c r="B107" s="185" t="s">
        <v>269</v>
      </c>
      <c r="C107" s="217" t="s">
        <v>163</v>
      </c>
      <c r="D107" s="218">
        <v>0</v>
      </c>
      <c r="E107" s="219">
        <v>0</v>
      </c>
      <c r="F107" s="220">
        <f>SUM(F108:F111)</f>
        <v>0</v>
      </c>
      <c r="G107" s="218">
        <v>0</v>
      </c>
      <c r="H107" s="219">
        <v>0</v>
      </c>
      <c r="I107" s="220">
        <f>SUM(I108:I111)</f>
        <v>0</v>
      </c>
      <c r="J107" s="218">
        <v>0</v>
      </c>
      <c r="K107" s="219">
        <v>0</v>
      </c>
      <c r="L107" s="220">
        <f>SUM(L108:L111)</f>
        <v>0</v>
      </c>
      <c r="M107" s="218">
        <v>0</v>
      </c>
      <c r="N107" s="219">
        <v>0</v>
      </c>
      <c r="O107" s="220">
        <f>SUM(O108:O111)</f>
        <v>0</v>
      </c>
      <c r="P107" s="170"/>
    </row>
    <row r="108" spans="1:16" s="178" customFormat="1" ht="15.75">
      <c r="A108" s="172">
        <v>1154300</v>
      </c>
      <c r="B108" s="173" t="s">
        <v>270</v>
      </c>
      <c r="C108" s="212">
        <v>465300</v>
      </c>
      <c r="D108" s="209">
        <v>0</v>
      </c>
      <c r="E108" s="210">
        <v>0</v>
      </c>
      <c r="F108" s="214"/>
      <c r="G108" s="209">
        <v>0</v>
      </c>
      <c r="H108" s="210">
        <v>0</v>
      </c>
      <c r="I108" s="214"/>
      <c r="J108" s="209">
        <v>0</v>
      </c>
      <c r="K108" s="210">
        <v>0</v>
      </c>
      <c r="L108" s="214"/>
      <c r="M108" s="209">
        <v>0</v>
      </c>
      <c r="N108" s="210">
        <v>0</v>
      </c>
      <c r="O108" s="214"/>
      <c r="P108" s="170"/>
    </row>
    <row r="109" spans="1:16" s="178" customFormat="1" ht="40.5">
      <c r="A109" s="172">
        <v>1154400</v>
      </c>
      <c r="B109" s="173" t="s">
        <v>271</v>
      </c>
      <c r="C109" s="212">
        <v>465500</v>
      </c>
      <c r="D109" s="209">
        <v>0</v>
      </c>
      <c r="E109" s="210">
        <v>0</v>
      </c>
      <c r="F109" s="214"/>
      <c r="G109" s="209">
        <v>0</v>
      </c>
      <c r="H109" s="210">
        <v>0</v>
      </c>
      <c r="I109" s="214"/>
      <c r="J109" s="209">
        <v>0</v>
      </c>
      <c r="K109" s="210">
        <v>0</v>
      </c>
      <c r="L109" s="214"/>
      <c r="M109" s="209">
        <v>0</v>
      </c>
      <c r="N109" s="210">
        <v>0</v>
      </c>
      <c r="O109" s="214"/>
      <c r="P109" s="170"/>
    </row>
    <row r="110" spans="1:16" s="178" customFormat="1" ht="27">
      <c r="A110" s="172">
        <v>1154500</v>
      </c>
      <c r="B110" s="173" t="s">
        <v>272</v>
      </c>
      <c r="C110" s="212">
        <v>465600</v>
      </c>
      <c r="D110" s="209">
        <v>0</v>
      </c>
      <c r="E110" s="210">
        <v>0</v>
      </c>
      <c r="F110" s="214"/>
      <c r="G110" s="209">
        <v>0</v>
      </c>
      <c r="H110" s="210">
        <v>0</v>
      </c>
      <c r="I110" s="214"/>
      <c r="J110" s="209">
        <v>0</v>
      </c>
      <c r="K110" s="210">
        <v>0</v>
      </c>
      <c r="L110" s="214"/>
      <c r="M110" s="209">
        <v>0</v>
      </c>
      <c r="N110" s="210">
        <v>0</v>
      </c>
      <c r="O110" s="214"/>
      <c r="P110" s="170"/>
    </row>
    <row r="111" spans="1:16" s="178" customFormat="1" ht="15.75">
      <c r="A111" s="172">
        <v>1154600</v>
      </c>
      <c r="B111" s="173" t="s">
        <v>273</v>
      </c>
      <c r="C111" s="212">
        <v>465700</v>
      </c>
      <c r="D111" s="209">
        <v>0</v>
      </c>
      <c r="E111" s="210">
        <v>0</v>
      </c>
      <c r="F111" s="214"/>
      <c r="G111" s="209">
        <v>0</v>
      </c>
      <c r="H111" s="210">
        <v>0</v>
      </c>
      <c r="I111" s="214"/>
      <c r="J111" s="209">
        <v>0</v>
      </c>
      <c r="K111" s="210">
        <v>0</v>
      </c>
      <c r="L111" s="214"/>
      <c r="M111" s="209">
        <v>0</v>
      </c>
      <c r="N111" s="210">
        <v>0</v>
      </c>
      <c r="O111" s="214"/>
      <c r="P111" s="170"/>
    </row>
    <row r="112" spans="1:16" s="157" customFormat="1" ht="27">
      <c r="A112" s="158">
        <v>1160000</v>
      </c>
      <c r="B112" s="159" t="s">
        <v>274</v>
      </c>
      <c r="C112" s="208" t="s">
        <v>160</v>
      </c>
      <c r="D112" s="215">
        <v>0</v>
      </c>
      <c r="E112" s="216">
        <v>0</v>
      </c>
      <c r="F112" s="211">
        <f>F113+F116</f>
        <v>0</v>
      </c>
      <c r="G112" s="215">
        <v>0</v>
      </c>
      <c r="H112" s="216">
        <v>0</v>
      </c>
      <c r="I112" s="211">
        <f>I113+I116</f>
        <v>0</v>
      </c>
      <c r="J112" s="215">
        <v>0</v>
      </c>
      <c r="K112" s="216">
        <v>0</v>
      </c>
      <c r="L112" s="211">
        <f>L113+L116</f>
        <v>0</v>
      </c>
      <c r="M112" s="215">
        <v>0</v>
      </c>
      <c r="N112" s="216">
        <v>0</v>
      </c>
      <c r="O112" s="211">
        <f>O113+O116</f>
        <v>0</v>
      </c>
      <c r="P112" s="156"/>
    </row>
    <row r="113" spans="1:16" s="186" customFormat="1" ht="16.5">
      <c r="A113" s="184">
        <v>1161000</v>
      </c>
      <c r="B113" s="185" t="s">
        <v>275</v>
      </c>
      <c r="C113" s="217" t="s">
        <v>163</v>
      </c>
      <c r="D113" s="218">
        <v>0</v>
      </c>
      <c r="E113" s="219">
        <v>0</v>
      </c>
      <c r="F113" s="220">
        <f>SUM(F114:F115)</f>
        <v>0</v>
      </c>
      <c r="G113" s="218">
        <v>0</v>
      </c>
      <c r="H113" s="219">
        <v>0</v>
      </c>
      <c r="I113" s="220">
        <f>SUM(I114:I115)</f>
        <v>0</v>
      </c>
      <c r="J113" s="218">
        <v>0</v>
      </c>
      <c r="K113" s="219">
        <v>0</v>
      </c>
      <c r="L113" s="220">
        <f>SUM(L114:L115)</f>
        <v>0</v>
      </c>
      <c r="M113" s="218">
        <v>0</v>
      </c>
      <c r="N113" s="219">
        <v>0</v>
      </c>
      <c r="O113" s="220">
        <f>SUM(O114:O115)</f>
        <v>0</v>
      </c>
      <c r="P113" s="156"/>
    </row>
    <row r="114" spans="1:16" s="178" customFormat="1" ht="27">
      <c r="A114" s="172">
        <v>1161100</v>
      </c>
      <c r="B114" s="173" t="s">
        <v>276</v>
      </c>
      <c r="C114" s="212">
        <v>471100</v>
      </c>
      <c r="D114" s="209">
        <v>0</v>
      </c>
      <c r="E114" s="210">
        <v>0</v>
      </c>
      <c r="F114" s="214"/>
      <c r="G114" s="209">
        <v>0</v>
      </c>
      <c r="H114" s="210">
        <v>0</v>
      </c>
      <c r="I114" s="214"/>
      <c r="J114" s="209">
        <v>0</v>
      </c>
      <c r="K114" s="210">
        <v>0</v>
      </c>
      <c r="L114" s="214"/>
      <c r="M114" s="209">
        <v>0</v>
      </c>
      <c r="N114" s="210">
        <v>0</v>
      </c>
      <c r="O114" s="214"/>
      <c r="P114" s="170"/>
    </row>
    <row r="115" spans="1:16" s="178" customFormat="1" ht="27">
      <c r="A115" s="172">
        <v>1161200</v>
      </c>
      <c r="B115" s="173" t="s">
        <v>277</v>
      </c>
      <c r="C115" s="212">
        <v>471200</v>
      </c>
      <c r="D115" s="209">
        <v>0</v>
      </c>
      <c r="E115" s="210">
        <v>0</v>
      </c>
      <c r="F115" s="214"/>
      <c r="G115" s="209">
        <v>0</v>
      </c>
      <c r="H115" s="210">
        <v>0</v>
      </c>
      <c r="I115" s="214"/>
      <c r="J115" s="209">
        <v>0</v>
      </c>
      <c r="K115" s="210">
        <v>0</v>
      </c>
      <c r="L115" s="214"/>
      <c r="M115" s="209">
        <v>0</v>
      </c>
      <c r="N115" s="210">
        <v>0</v>
      </c>
      <c r="O115" s="214"/>
      <c r="P115" s="170"/>
    </row>
    <row r="116" spans="1:16" s="186" customFormat="1" ht="27">
      <c r="A116" s="184">
        <v>1162000</v>
      </c>
      <c r="B116" s="185" t="s">
        <v>278</v>
      </c>
      <c r="C116" s="217" t="s">
        <v>163</v>
      </c>
      <c r="D116" s="218">
        <v>0</v>
      </c>
      <c r="E116" s="219">
        <v>0</v>
      </c>
      <c r="F116" s="220">
        <f>SUM(F117:F125)</f>
        <v>0</v>
      </c>
      <c r="G116" s="218">
        <v>0</v>
      </c>
      <c r="H116" s="219">
        <v>0</v>
      </c>
      <c r="I116" s="220">
        <f>SUM(I117:I125)</f>
        <v>0</v>
      </c>
      <c r="J116" s="218">
        <v>0</v>
      </c>
      <c r="K116" s="219">
        <v>0</v>
      </c>
      <c r="L116" s="220">
        <f>SUM(L117:L125)</f>
        <v>0</v>
      </c>
      <c r="M116" s="218">
        <v>0</v>
      </c>
      <c r="N116" s="219">
        <v>0</v>
      </c>
      <c r="O116" s="220">
        <f>SUM(O117:O125)</f>
        <v>0</v>
      </c>
      <c r="P116" s="156"/>
    </row>
    <row r="117" spans="1:16" s="178" customFormat="1" ht="27">
      <c r="A117" s="172">
        <v>1162100</v>
      </c>
      <c r="B117" s="159" t="s">
        <v>279</v>
      </c>
      <c r="C117" s="212">
        <v>472100</v>
      </c>
      <c r="D117" s="209">
        <v>0</v>
      </c>
      <c r="E117" s="210">
        <v>0</v>
      </c>
      <c r="F117" s="214"/>
      <c r="G117" s="209">
        <v>0</v>
      </c>
      <c r="H117" s="210">
        <v>0</v>
      </c>
      <c r="I117" s="214"/>
      <c r="J117" s="209">
        <v>0</v>
      </c>
      <c r="K117" s="210">
        <v>0</v>
      </c>
      <c r="L117" s="214"/>
      <c r="M117" s="209">
        <v>0</v>
      </c>
      <c r="N117" s="210">
        <v>0</v>
      </c>
      <c r="O117" s="214"/>
      <c r="P117" s="170"/>
    </row>
    <row r="118" spans="1:16" s="178" customFormat="1" ht="15.75">
      <c r="A118" s="172">
        <v>1162200</v>
      </c>
      <c r="B118" s="159" t="s">
        <v>280</v>
      </c>
      <c r="C118" s="212">
        <v>472200</v>
      </c>
      <c r="D118" s="209">
        <v>0</v>
      </c>
      <c r="E118" s="210">
        <v>0</v>
      </c>
      <c r="F118" s="214"/>
      <c r="G118" s="209">
        <v>0</v>
      </c>
      <c r="H118" s="210">
        <v>0</v>
      </c>
      <c r="I118" s="214"/>
      <c r="J118" s="209">
        <v>0</v>
      </c>
      <c r="K118" s="210">
        <v>0</v>
      </c>
      <c r="L118" s="214"/>
      <c r="M118" s="209">
        <v>0</v>
      </c>
      <c r="N118" s="210">
        <v>0</v>
      </c>
      <c r="O118" s="214"/>
      <c r="P118" s="170"/>
    </row>
    <row r="119" spans="1:16" s="178" customFormat="1" ht="27">
      <c r="A119" s="172">
        <v>1162300</v>
      </c>
      <c r="B119" s="159" t="s">
        <v>281</v>
      </c>
      <c r="C119" s="212">
        <v>472300</v>
      </c>
      <c r="D119" s="209">
        <v>0</v>
      </c>
      <c r="E119" s="210">
        <v>0</v>
      </c>
      <c r="F119" s="214"/>
      <c r="G119" s="209">
        <v>0</v>
      </c>
      <c r="H119" s="210">
        <v>0</v>
      </c>
      <c r="I119" s="214"/>
      <c r="J119" s="209">
        <v>0</v>
      </c>
      <c r="K119" s="210">
        <v>0</v>
      </c>
      <c r="L119" s="214"/>
      <c r="M119" s="209">
        <v>0</v>
      </c>
      <c r="N119" s="210">
        <v>0</v>
      </c>
      <c r="O119" s="214"/>
      <c r="P119" s="170"/>
    </row>
    <row r="120" spans="1:16" s="178" customFormat="1" ht="15.75">
      <c r="A120" s="172">
        <v>1162400</v>
      </c>
      <c r="B120" s="159" t="s">
        <v>282</v>
      </c>
      <c r="C120" s="212">
        <v>472400</v>
      </c>
      <c r="D120" s="209">
        <v>0</v>
      </c>
      <c r="E120" s="210">
        <v>0</v>
      </c>
      <c r="F120" s="214"/>
      <c r="G120" s="209">
        <v>0</v>
      </c>
      <c r="H120" s="210">
        <v>0</v>
      </c>
      <c r="I120" s="214"/>
      <c r="J120" s="209">
        <v>0</v>
      </c>
      <c r="K120" s="210">
        <v>0</v>
      </c>
      <c r="L120" s="214"/>
      <c r="M120" s="209">
        <v>0</v>
      </c>
      <c r="N120" s="210">
        <v>0</v>
      </c>
      <c r="O120" s="214"/>
      <c r="P120" s="170"/>
    </row>
    <row r="121" spans="1:16" s="178" customFormat="1" ht="27">
      <c r="A121" s="172">
        <v>1162500</v>
      </c>
      <c r="B121" s="159" t="s">
        <v>283</v>
      </c>
      <c r="C121" s="212">
        <v>472500</v>
      </c>
      <c r="D121" s="209">
        <v>0</v>
      </c>
      <c r="E121" s="210">
        <v>0</v>
      </c>
      <c r="F121" s="214"/>
      <c r="G121" s="209">
        <v>0</v>
      </c>
      <c r="H121" s="210">
        <v>0</v>
      </c>
      <c r="I121" s="214"/>
      <c r="J121" s="209">
        <v>0</v>
      </c>
      <c r="K121" s="210">
        <v>0</v>
      </c>
      <c r="L121" s="214"/>
      <c r="M121" s="209">
        <v>0</v>
      </c>
      <c r="N121" s="210">
        <v>0</v>
      </c>
      <c r="O121" s="214"/>
      <c r="P121" s="170"/>
    </row>
    <row r="122" spans="1:16" s="178" customFormat="1" ht="15.75">
      <c r="A122" s="172">
        <v>1162600</v>
      </c>
      <c r="B122" s="159" t="s">
        <v>284</v>
      </c>
      <c r="C122" s="212">
        <v>472600</v>
      </c>
      <c r="D122" s="209">
        <v>0</v>
      </c>
      <c r="E122" s="210">
        <v>0</v>
      </c>
      <c r="F122" s="214"/>
      <c r="G122" s="209">
        <v>0</v>
      </c>
      <c r="H122" s="210">
        <v>0</v>
      </c>
      <c r="I122" s="214"/>
      <c r="J122" s="209">
        <v>0</v>
      </c>
      <c r="K122" s="210">
        <v>0</v>
      </c>
      <c r="L122" s="214"/>
      <c r="M122" s="209">
        <v>0</v>
      </c>
      <c r="N122" s="210">
        <v>0</v>
      </c>
      <c r="O122" s="214"/>
      <c r="P122" s="170"/>
    </row>
    <row r="123" spans="1:16" s="178" customFormat="1" ht="27">
      <c r="A123" s="172">
        <v>1162700</v>
      </c>
      <c r="B123" s="159" t="s">
        <v>285</v>
      </c>
      <c r="C123" s="212">
        <v>472700</v>
      </c>
      <c r="D123" s="209">
        <v>0</v>
      </c>
      <c r="E123" s="210">
        <v>0</v>
      </c>
      <c r="F123" s="214"/>
      <c r="G123" s="209">
        <v>0</v>
      </c>
      <c r="H123" s="210">
        <v>0</v>
      </c>
      <c r="I123" s="214"/>
      <c r="J123" s="209">
        <v>0</v>
      </c>
      <c r="K123" s="210">
        <v>0</v>
      </c>
      <c r="L123" s="214"/>
      <c r="M123" s="209">
        <v>0</v>
      </c>
      <c r="N123" s="210">
        <v>0</v>
      </c>
      <c r="O123" s="214"/>
      <c r="P123" s="189" t="s">
        <v>286</v>
      </c>
    </row>
    <row r="124" spans="1:16" s="178" customFormat="1" ht="15.75">
      <c r="A124" s="172">
        <v>1162800</v>
      </c>
      <c r="B124" s="159" t="s">
        <v>287</v>
      </c>
      <c r="C124" s="212">
        <v>472800</v>
      </c>
      <c r="D124" s="209">
        <v>0</v>
      </c>
      <c r="E124" s="210">
        <v>0</v>
      </c>
      <c r="F124" s="214"/>
      <c r="G124" s="209">
        <v>0</v>
      </c>
      <c r="H124" s="210">
        <v>0</v>
      </c>
      <c r="I124" s="214"/>
      <c r="J124" s="209">
        <v>0</v>
      </c>
      <c r="K124" s="210">
        <v>0</v>
      </c>
      <c r="L124" s="214"/>
      <c r="M124" s="209">
        <v>0</v>
      </c>
      <c r="N124" s="210">
        <v>0</v>
      </c>
      <c r="O124" s="214"/>
      <c r="P124" s="170"/>
    </row>
    <row r="125" spans="1:16" s="178" customFormat="1" ht="15.75">
      <c r="A125" s="172">
        <v>1162900</v>
      </c>
      <c r="B125" s="159" t="s">
        <v>288</v>
      </c>
      <c r="C125" s="212">
        <v>472900</v>
      </c>
      <c r="D125" s="209">
        <v>0</v>
      </c>
      <c r="E125" s="210">
        <v>0</v>
      </c>
      <c r="F125" s="214"/>
      <c r="G125" s="209">
        <v>0</v>
      </c>
      <c r="H125" s="210">
        <v>0</v>
      </c>
      <c r="I125" s="214"/>
      <c r="J125" s="209">
        <v>0</v>
      </c>
      <c r="K125" s="210">
        <v>0</v>
      </c>
      <c r="L125" s="214"/>
      <c r="M125" s="209">
        <v>0</v>
      </c>
      <c r="N125" s="210">
        <v>0</v>
      </c>
      <c r="O125" s="214"/>
      <c r="P125" s="170"/>
    </row>
    <row r="126" spans="1:16" s="157" customFormat="1" ht="27">
      <c r="A126" s="158">
        <v>1170000</v>
      </c>
      <c r="B126" s="159" t="s">
        <v>289</v>
      </c>
      <c r="C126" s="208" t="s">
        <v>163</v>
      </c>
      <c r="D126" s="215">
        <v>0</v>
      </c>
      <c r="E126" s="216">
        <v>0</v>
      </c>
      <c r="F126" s="211"/>
      <c r="G126" s="215"/>
      <c r="H126" s="216"/>
      <c r="I126" s="211"/>
      <c r="J126" s="215"/>
      <c r="K126" s="216"/>
      <c r="L126" s="211"/>
      <c r="M126" s="215"/>
      <c r="N126" s="216"/>
      <c r="O126" s="211"/>
      <c r="P126" s="156"/>
    </row>
    <row r="127" spans="1:16" s="186" customFormat="1" ht="27">
      <c r="A127" s="184">
        <v>1171000</v>
      </c>
      <c r="B127" s="185" t="s">
        <v>290</v>
      </c>
      <c r="C127" s="217" t="s">
        <v>163</v>
      </c>
      <c r="D127" s="218">
        <v>0</v>
      </c>
      <c r="E127" s="219">
        <v>0</v>
      </c>
      <c r="F127" s="220">
        <f>SUM(F128:F129)</f>
        <v>0</v>
      </c>
      <c r="G127" s="218">
        <v>0</v>
      </c>
      <c r="H127" s="219">
        <v>0</v>
      </c>
      <c r="I127" s="220">
        <f>SUM(I128:I129)</f>
        <v>0</v>
      </c>
      <c r="J127" s="218">
        <v>0</v>
      </c>
      <c r="K127" s="219">
        <v>0</v>
      </c>
      <c r="L127" s="220">
        <f>SUM(L128:L129)</f>
        <v>0</v>
      </c>
      <c r="M127" s="218">
        <v>0</v>
      </c>
      <c r="N127" s="219">
        <v>0</v>
      </c>
      <c r="O127" s="220">
        <f>SUM(O128:O129)</f>
        <v>0</v>
      </c>
      <c r="P127" s="156"/>
    </row>
    <row r="128" spans="1:16" s="178" customFormat="1" ht="40.5">
      <c r="A128" s="172">
        <v>1171100</v>
      </c>
      <c r="B128" s="159" t="s">
        <v>291</v>
      </c>
      <c r="C128" s="212">
        <v>481100</v>
      </c>
      <c r="D128" s="209">
        <v>0</v>
      </c>
      <c r="E128" s="210">
        <v>0</v>
      </c>
      <c r="F128" s="214"/>
      <c r="G128" s="209">
        <v>0</v>
      </c>
      <c r="H128" s="210">
        <v>0</v>
      </c>
      <c r="I128" s="214"/>
      <c r="J128" s="209">
        <v>0</v>
      </c>
      <c r="K128" s="210">
        <v>0</v>
      </c>
      <c r="L128" s="214"/>
      <c r="M128" s="209">
        <v>0</v>
      </c>
      <c r="N128" s="210">
        <v>0</v>
      </c>
      <c r="O128" s="214"/>
      <c r="P128" s="170"/>
    </row>
    <row r="129" spans="1:25" s="178" customFormat="1" ht="27">
      <c r="A129" s="172">
        <v>1171200</v>
      </c>
      <c r="B129" s="159" t="s">
        <v>292</v>
      </c>
      <c r="C129" s="212">
        <v>481900</v>
      </c>
      <c r="D129" s="209">
        <v>0</v>
      </c>
      <c r="E129" s="210">
        <v>0</v>
      </c>
      <c r="F129" s="214"/>
      <c r="G129" s="209">
        <v>0</v>
      </c>
      <c r="H129" s="210">
        <v>0</v>
      </c>
      <c r="I129" s="214"/>
      <c r="J129" s="209">
        <v>0</v>
      </c>
      <c r="K129" s="210">
        <v>0</v>
      </c>
      <c r="L129" s="214"/>
      <c r="M129" s="209">
        <v>0</v>
      </c>
      <c r="N129" s="210">
        <v>0</v>
      </c>
      <c r="O129" s="214"/>
      <c r="P129" s="170"/>
    </row>
    <row r="130" spans="1:25" s="186" customFormat="1" ht="54">
      <c r="A130" s="184">
        <v>1172000</v>
      </c>
      <c r="B130" s="185" t="s">
        <v>293</v>
      </c>
      <c r="C130" s="217" t="s">
        <v>163</v>
      </c>
      <c r="D130" s="218">
        <v>0</v>
      </c>
      <c r="E130" s="219">
        <v>0</v>
      </c>
      <c r="F130" s="220">
        <f>SUM(F131:F134)</f>
        <v>60</v>
      </c>
      <c r="G130" s="218">
        <v>0</v>
      </c>
      <c r="H130" s="219">
        <v>0</v>
      </c>
      <c r="I130" s="220">
        <f>SUM(I131:I134)</f>
        <v>60</v>
      </c>
      <c r="J130" s="218">
        <v>0</v>
      </c>
      <c r="K130" s="219">
        <v>0</v>
      </c>
      <c r="L130" s="220">
        <f>SUM(L131:L134)</f>
        <v>60</v>
      </c>
      <c r="M130" s="218">
        <v>0</v>
      </c>
      <c r="N130" s="219">
        <v>0</v>
      </c>
      <c r="O130" s="220">
        <f>SUM(O131:O134)</f>
        <v>60</v>
      </c>
      <c r="P130" s="156"/>
    </row>
    <row r="131" spans="1:25" s="178" customFormat="1" ht="15.75">
      <c r="A131" s="172">
        <v>1172100</v>
      </c>
      <c r="B131" s="173" t="s">
        <v>294</v>
      </c>
      <c r="C131" s="212">
        <v>482100</v>
      </c>
      <c r="D131" s="209">
        <v>0</v>
      </c>
      <c r="E131" s="210">
        <v>0</v>
      </c>
      <c r="F131" s="214"/>
      <c r="G131" s="209">
        <v>0</v>
      </c>
      <c r="H131" s="210">
        <v>0</v>
      </c>
      <c r="I131" s="214"/>
      <c r="J131" s="209">
        <v>0</v>
      </c>
      <c r="K131" s="210">
        <v>0</v>
      </c>
      <c r="L131" s="214"/>
      <c r="M131" s="209">
        <v>0</v>
      </c>
      <c r="N131" s="210">
        <v>0</v>
      </c>
      <c r="O131" s="214"/>
      <c r="P131" s="170"/>
    </row>
    <row r="132" spans="1:25" s="178" customFormat="1" ht="15.75">
      <c r="A132" s="172">
        <v>1172200</v>
      </c>
      <c r="B132" s="173" t="s">
        <v>295</v>
      </c>
      <c r="C132" s="212">
        <v>482200</v>
      </c>
      <c r="D132" s="209">
        <v>0</v>
      </c>
      <c r="E132" s="210">
        <v>0</v>
      </c>
      <c r="F132" s="214"/>
      <c r="G132" s="209"/>
      <c r="H132" s="210"/>
      <c r="I132" s="214"/>
      <c r="J132" s="209"/>
      <c r="K132" s="210"/>
      <c r="L132" s="214"/>
      <c r="M132" s="209"/>
      <c r="N132" s="210"/>
      <c r="O132" s="214"/>
      <c r="P132" s="189" t="s">
        <v>296</v>
      </c>
      <c r="U132" s="178">
        <v>240.8</v>
      </c>
    </row>
    <row r="133" spans="1:25" s="178" customFormat="1" ht="15.75">
      <c r="A133" s="172">
        <v>1172300</v>
      </c>
      <c r="B133" s="159" t="s">
        <v>297</v>
      </c>
      <c r="C133" s="212">
        <v>482300</v>
      </c>
      <c r="D133" s="209">
        <v>0</v>
      </c>
      <c r="E133" s="210">
        <v>0</v>
      </c>
      <c r="F133" s="214">
        <v>60</v>
      </c>
      <c r="G133" s="209">
        <v>0</v>
      </c>
      <c r="H133" s="210">
        <v>0</v>
      </c>
      <c r="I133" s="214">
        <v>60</v>
      </c>
      <c r="J133" s="209">
        <v>0</v>
      </c>
      <c r="K133" s="210">
        <v>0</v>
      </c>
      <c r="L133" s="214">
        <v>60</v>
      </c>
      <c r="M133" s="209">
        <v>0</v>
      </c>
      <c r="N133" s="210">
        <v>0</v>
      </c>
      <c r="O133" s="214">
        <v>60</v>
      </c>
      <c r="P133" s="189" t="s">
        <v>298</v>
      </c>
      <c r="Y133" s="178">
        <v>342</v>
      </c>
    </row>
    <row r="134" spans="1:25" s="178" customFormat="1" ht="27">
      <c r="A134" s="172">
        <v>1172400</v>
      </c>
      <c r="B134" s="159" t="s">
        <v>299</v>
      </c>
      <c r="C134" s="212">
        <v>482400</v>
      </c>
      <c r="D134" s="209">
        <v>0</v>
      </c>
      <c r="E134" s="210">
        <v>0</v>
      </c>
      <c r="F134" s="214"/>
      <c r="G134" s="209">
        <v>0</v>
      </c>
      <c r="H134" s="210">
        <v>0</v>
      </c>
      <c r="I134" s="214"/>
      <c r="J134" s="209">
        <v>0</v>
      </c>
      <c r="K134" s="210">
        <v>0</v>
      </c>
      <c r="L134" s="214"/>
      <c r="M134" s="209">
        <v>0</v>
      </c>
      <c r="N134" s="210">
        <v>0</v>
      </c>
      <c r="O134" s="214"/>
      <c r="P134" s="170"/>
    </row>
    <row r="135" spans="1:25" s="186" customFormat="1" ht="27">
      <c r="A135" s="184">
        <v>1173000</v>
      </c>
      <c r="B135" s="185" t="s">
        <v>300</v>
      </c>
      <c r="C135" s="217" t="s">
        <v>163</v>
      </c>
      <c r="D135" s="218">
        <v>0</v>
      </c>
      <c r="E135" s="219">
        <v>0</v>
      </c>
      <c r="F135" s="220">
        <f>F136</f>
        <v>0</v>
      </c>
      <c r="G135" s="218">
        <v>0</v>
      </c>
      <c r="H135" s="219">
        <v>0</v>
      </c>
      <c r="I135" s="220">
        <f>I136</f>
        <v>0</v>
      </c>
      <c r="J135" s="218">
        <v>0</v>
      </c>
      <c r="K135" s="219">
        <v>0</v>
      </c>
      <c r="L135" s="220">
        <f>L136</f>
        <v>0</v>
      </c>
      <c r="M135" s="218">
        <v>0</v>
      </c>
      <c r="N135" s="219">
        <v>0</v>
      </c>
      <c r="O135" s="220">
        <f>O136</f>
        <v>0</v>
      </c>
      <c r="P135" s="156"/>
    </row>
    <row r="136" spans="1:25" s="178" customFormat="1" ht="27">
      <c r="A136" s="172">
        <v>1173100</v>
      </c>
      <c r="B136" s="173" t="s">
        <v>301</v>
      </c>
      <c r="C136" s="212">
        <v>483100</v>
      </c>
      <c r="D136" s="209">
        <v>0</v>
      </c>
      <c r="E136" s="210">
        <v>0</v>
      </c>
      <c r="F136" s="214"/>
      <c r="G136" s="209">
        <v>0</v>
      </c>
      <c r="H136" s="210">
        <v>0</v>
      </c>
      <c r="I136" s="214"/>
      <c r="J136" s="209">
        <v>0</v>
      </c>
      <c r="K136" s="210">
        <v>0</v>
      </c>
      <c r="L136" s="214"/>
      <c r="M136" s="209">
        <v>0</v>
      </c>
      <c r="N136" s="210">
        <v>0</v>
      </c>
      <c r="O136" s="214"/>
      <c r="P136" s="170"/>
    </row>
    <row r="137" spans="1:25" s="186" customFormat="1" ht="40.5">
      <c r="A137" s="184">
        <v>1174000</v>
      </c>
      <c r="B137" s="185" t="s">
        <v>302</v>
      </c>
      <c r="C137" s="217" t="s">
        <v>163</v>
      </c>
      <c r="D137" s="218">
        <v>0</v>
      </c>
      <c r="E137" s="219">
        <v>0</v>
      </c>
      <c r="F137" s="220">
        <f>SUM(F138:F139)</f>
        <v>0</v>
      </c>
      <c r="G137" s="218">
        <v>0</v>
      </c>
      <c r="H137" s="219">
        <v>0</v>
      </c>
      <c r="I137" s="220">
        <f>SUM(I138:I139)</f>
        <v>0</v>
      </c>
      <c r="J137" s="218">
        <v>0</v>
      </c>
      <c r="K137" s="219">
        <v>0</v>
      </c>
      <c r="L137" s="220">
        <f>SUM(L138:L139)</f>
        <v>0</v>
      </c>
      <c r="M137" s="218">
        <v>0</v>
      </c>
      <c r="N137" s="219">
        <v>0</v>
      </c>
      <c r="O137" s="220">
        <f>SUM(O138:O139)</f>
        <v>0</v>
      </c>
      <c r="P137" s="156"/>
    </row>
    <row r="138" spans="1:25" s="178" customFormat="1" ht="27">
      <c r="A138" s="172">
        <v>1174100</v>
      </c>
      <c r="B138" s="173" t="s">
        <v>303</v>
      </c>
      <c r="C138" s="212">
        <v>484100</v>
      </c>
      <c r="D138" s="209">
        <v>0</v>
      </c>
      <c r="E138" s="210">
        <v>0</v>
      </c>
      <c r="F138" s="214"/>
      <c r="G138" s="209">
        <v>0</v>
      </c>
      <c r="H138" s="210">
        <v>0</v>
      </c>
      <c r="I138" s="214"/>
      <c r="J138" s="209">
        <v>0</v>
      </c>
      <c r="K138" s="210">
        <v>0</v>
      </c>
      <c r="L138" s="214"/>
      <c r="M138" s="209">
        <v>0</v>
      </c>
      <c r="N138" s="210">
        <v>0</v>
      </c>
      <c r="O138" s="214"/>
      <c r="P138" s="170"/>
    </row>
    <row r="139" spans="1:25" s="178" customFormat="1" ht="27">
      <c r="A139" s="172">
        <v>1174200</v>
      </c>
      <c r="B139" s="173" t="s">
        <v>304</v>
      </c>
      <c r="C139" s="212">
        <v>484200</v>
      </c>
      <c r="D139" s="209">
        <v>0</v>
      </c>
      <c r="E139" s="210">
        <v>0</v>
      </c>
      <c r="F139" s="214"/>
      <c r="G139" s="209">
        <v>0</v>
      </c>
      <c r="H139" s="210">
        <v>0</v>
      </c>
      <c r="I139" s="214"/>
      <c r="J139" s="209">
        <v>0</v>
      </c>
      <c r="K139" s="210">
        <v>0</v>
      </c>
      <c r="L139" s="214"/>
      <c r="M139" s="209">
        <v>0</v>
      </c>
      <c r="N139" s="210">
        <v>0</v>
      </c>
      <c r="O139" s="214"/>
      <c r="P139" s="170"/>
    </row>
    <row r="140" spans="1:25" s="186" customFormat="1" ht="40.5">
      <c r="A140" s="184">
        <v>1175000</v>
      </c>
      <c r="B140" s="185" t="s">
        <v>305</v>
      </c>
      <c r="C140" s="217" t="s">
        <v>163</v>
      </c>
      <c r="D140" s="218">
        <v>0</v>
      </c>
      <c r="E140" s="219">
        <v>0</v>
      </c>
      <c r="F140" s="220">
        <f>F141</f>
        <v>0</v>
      </c>
      <c r="G140" s="218">
        <v>0</v>
      </c>
      <c r="H140" s="219">
        <v>0</v>
      </c>
      <c r="I140" s="220">
        <f>I141</f>
        <v>0</v>
      </c>
      <c r="J140" s="218">
        <v>0</v>
      </c>
      <c r="K140" s="219">
        <v>0</v>
      </c>
      <c r="L140" s="220">
        <f>L141</f>
        <v>0</v>
      </c>
      <c r="M140" s="218">
        <v>0</v>
      </c>
      <c r="N140" s="219">
        <v>0</v>
      </c>
      <c r="O140" s="220">
        <f>O141</f>
        <v>0</v>
      </c>
      <c r="P140" s="156"/>
    </row>
    <row r="141" spans="1:25" s="178" customFormat="1" ht="40.5">
      <c r="A141" s="172">
        <v>1175100</v>
      </c>
      <c r="B141" s="159" t="s">
        <v>306</v>
      </c>
      <c r="C141" s="212">
        <v>485100</v>
      </c>
      <c r="D141" s="209">
        <v>0</v>
      </c>
      <c r="E141" s="210">
        <v>0</v>
      </c>
      <c r="F141" s="214"/>
      <c r="G141" s="209">
        <v>0</v>
      </c>
      <c r="H141" s="210">
        <v>0</v>
      </c>
      <c r="I141" s="214"/>
      <c r="J141" s="209">
        <v>0</v>
      </c>
      <c r="K141" s="210">
        <v>0</v>
      </c>
      <c r="L141" s="214"/>
      <c r="M141" s="209">
        <v>0</v>
      </c>
      <c r="N141" s="210">
        <v>0</v>
      </c>
      <c r="O141" s="214"/>
      <c r="P141" s="170"/>
    </row>
    <row r="142" spans="1:25" s="186" customFormat="1" ht="16.5">
      <c r="A142" s="184">
        <v>1176000</v>
      </c>
      <c r="B142" s="185" t="s">
        <v>307</v>
      </c>
      <c r="C142" s="217" t="s">
        <v>163</v>
      </c>
      <c r="D142" s="218">
        <v>0</v>
      </c>
      <c r="E142" s="219">
        <v>0</v>
      </c>
      <c r="F142" s="220">
        <f>F143</f>
        <v>0</v>
      </c>
      <c r="G142" s="218">
        <v>0</v>
      </c>
      <c r="H142" s="219">
        <v>0</v>
      </c>
      <c r="I142" s="220">
        <f>I143</f>
        <v>0</v>
      </c>
      <c r="J142" s="220">
        <f t="shared" ref="J142:L142" si="4">J143</f>
        <v>0</v>
      </c>
      <c r="K142" s="220">
        <f t="shared" si="4"/>
        <v>0</v>
      </c>
      <c r="L142" s="220">
        <f t="shared" si="4"/>
        <v>0</v>
      </c>
      <c r="M142" s="218">
        <v>0</v>
      </c>
      <c r="N142" s="219">
        <v>0</v>
      </c>
      <c r="O142" s="220">
        <f>O143</f>
        <v>0</v>
      </c>
      <c r="P142" s="156"/>
    </row>
    <row r="143" spans="1:25" s="178" customFormat="1" ht="15.75">
      <c r="A143" s="172">
        <v>1176100</v>
      </c>
      <c r="B143" s="159" t="s">
        <v>308</v>
      </c>
      <c r="C143" s="212">
        <v>486100</v>
      </c>
      <c r="D143" s="209">
        <v>0</v>
      </c>
      <c r="E143" s="210">
        <v>0</v>
      </c>
      <c r="F143" s="214"/>
      <c r="G143" s="209"/>
      <c r="H143" s="210"/>
      <c r="I143" s="214"/>
      <c r="J143" s="209"/>
      <c r="K143" s="210"/>
      <c r="L143" s="214"/>
      <c r="M143" s="209"/>
      <c r="N143" s="210"/>
      <c r="O143" s="214"/>
      <c r="P143" s="170"/>
    </row>
    <row r="144" spans="1:25" s="186" customFormat="1" ht="16.5">
      <c r="A144" s="184">
        <v>1177000</v>
      </c>
      <c r="B144" s="185" t="s">
        <v>309</v>
      </c>
      <c r="C144" s="217" t="s">
        <v>163</v>
      </c>
      <c r="D144" s="218">
        <v>0</v>
      </c>
      <c r="E144" s="219">
        <v>0</v>
      </c>
      <c r="F144" s="220">
        <f>F145</f>
        <v>0</v>
      </c>
      <c r="G144" s="218">
        <v>0</v>
      </c>
      <c r="H144" s="219">
        <v>0</v>
      </c>
      <c r="I144" s="220">
        <f>I145</f>
        <v>0</v>
      </c>
      <c r="J144" s="218">
        <v>0</v>
      </c>
      <c r="K144" s="219">
        <v>0</v>
      </c>
      <c r="L144" s="220">
        <f>L145</f>
        <v>0</v>
      </c>
      <c r="M144" s="218">
        <v>0</v>
      </c>
      <c r="N144" s="219">
        <v>0</v>
      </c>
      <c r="O144" s="220">
        <f>O145</f>
        <v>0</v>
      </c>
      <c r="P144" s="156"/>
    </row>
    <row r="145" spans="1:16" s="178" customFormat="1" ht="15.75">
      <c r="A145" s="172">
        <v>1177100</v>
      </c>
      <c r="B145" s="159" t="s">
        <v>310</v>
      </c>
      <c r="C145" s="212">
        <v>489100</v>
      </c>
      <c r="D145" s="209">
        <v>0</v>
      </c>
      <c r="E145" s="210">
        <v>0</v>
      </c>
      <c r="F145" s="214"/>
      <c r="G145" s="209">
        <v>0</v>
      </c>
      <c r="H145" s="210">
        <v>0</v>
      </c>
      <c r="I145" s="214"/>
      <c r="J145" s="209">
        <v>0</v>
      </c>
      <c r="K145" s="210">
        <v>0</v>
      </c>
      <c r="L145" s="214"/>
      <c r="M145" s="209">
        <v>0</v>
      </c>
      <c r="N145" s="210">
        <v>0</v>
      </c>
      <c r="O145" s="214"/>
      <c r="P145" s="170"/>
    </row>
    <row r="146" spans="1:16" s="157" customFormat="1" ht="40.5">
      <c r="A146" s="158">
        <v>4000000</v>
      </c>
      <c r="B146" s="159" t="s">
        <v>311</v>
      </c>
      <c r="C146" s="208" t="s">
        <v>160</v>
      </c>
      <c r="D146" s="215">
        <v>0</v>
      </c>
      <c r="E146" s="216">
        <v>0</v>
      </c>
      <c r="F146" s="211">
        <f>F147+F171</f>
        <v>0</v>
      </c>
      <c r="G146" s="215">
        <v>0</v>
      </c>
      <c r="H146" s="216">
        <v>0</v>
      </c>
      <c r="I146" s="211">
        <f>I147+I171</f>
        <v>0</v>
      </c>
      <c r="J146" s="215">
        <v>0</v>
      </c>
      <c r="K146" s="216">
        <v>0</v>
      </c>
      <c r="L146" s="211">
        <f>L147+L171</f>
        <v>0</v>
      </c>
      <c r="M146" s="215">
        <v>0</v>
      </c>
      <c r="N146" s="216">
        <v>0</v>
      </c>
      <c r="O146" s="211">
        <f>O147+O171</f>
        <v>0</v>
      </c>
      <c r="P146" s="156"/>
    </row>
    <row r="147" spans="1:16" s="157" customFormat="1" ht="40.5">
      <c r="A147" s="158">
        <v>1200000</v>
      </c>
      <c r="B147" s="159" t="s">
        <v>312</v>
      </c>
      <c r="C147" s="208" t="s">
        <v>163</v>
      </c>
      <c r="D147" s="215">
        <v>0</v>
      </c>
      <c r="E147" s="216">
        <v>0</v>
      </c>
      <c r="F147" s="211">
        <f>F148+F159+F164+F166</f>
        <v>0</v>
      </c>
      <c r="G147" s="215">
        <v>0</v>
      </c>
      <c r="H147" s="216">
        <v>0</v>
      </c>
      <c r="I147" s="211">
        <f>I148+I159+I164+I166</f>
        <v>0</v>
      </c>
      <c r="J147" s="215">
        <v>0</v>
      </c>
      <c r="K147" s="216">
        <v>0</v>
      </c>
      <c r="L147" s="211">
        <f>L148+L159+L164+L166</f>
        <v>0</v>
      </c>
      <c r="M147" s="215">
        <v>0</v>
      </c>
      <c r="N147" s="216">
        <v>0</v>
      </c>
      <c r="O147" s="211">
        <f>O148+O159+O164+O166</f>
        <v>0</v>
      </c>
      <c r="P147" s="156"/>
    </row>
    <row r="148" spans="1:16" s="186" customFormat="1" ht="27">
      <c r="A148" s="184">
        <v>1210000</v>
      </c>
      <c r="B148" s="185" t="s">
        <v>313</v>
      </c>
      <c r="C148" s="217" t="s">
        <v>163</v>
      </c>
      <c r="D148" s="218">
        <v>0</v>
      </c>
      <c r="E148" s="219">
        <v>0</v>
      </c>
      <c r="F148" s="220">
        <f>SUM(F149:F158)</f>
        <v>0</v>
      </c>
      <c r="G148" s="218">
        <v>0</v>
      </c>
      <c r="H148" s="219">
        <v>0</v>
      </c>
      <c r="I148" s="220">
        <f>SUM(I149:I158)</f>
        <v>0</v>
      </c>
      <c r="J148" s="218">
        <v>0</v>
      </c>
      <c r="K148" s="219">
        <v>0</v>
      </c>
      <c r="L148" s="220">
        <f>SUM(L149:L158)</f>
        <v>0</v>
      </c>
      <c r="M148" s="218">
        <v>0</v>
      </c>
      <c r="N148" s="219">
        <v>0</v>
      </c>
      <c r="O148" s="220">
        <f>SUM(O149:O158)</f>
        <v>0</v>
      </c>
      <c r="P148" s="156"/>
    </row>
    <row r="149" spans="1:16" s="178" customFormat="1" ht="15.75">
      <c r="A149" s="172">
        <v>1211000</v>
      </c>
      <c r="B149" s="159" t="s">
        <v>314</v>
      </c>
      <c r="C149" s="212">
        <v>511100</v>
      </c>
      <c r="D149" s="209">
        <v>0</v>
      </c>
      <c r="E149" s="210">
        <v>0</v>
      </c>
      <c r="F149" s="214"/>
      <c r="G149" s="209">
        <v>0</v>
      </c>
      <c r="H149" s="210">
        <v>0</v>
      </c>
      <c r="I149" s="214"/>
      <c r="J149" s="209">
        <v>0</v>
      </c>
      <c r="K149" s="210">
        <v>0</v>
      </c>
      <c r="L149" s="214"/>
      <c r="M149" s="209">
        <v>0</v>
      </c>
      <c r="N149" s="210">
        <v>0</v>
      </c>
      <c r="O149" s="214"/>
      <c r="P149" s="170"/>
    </row>
    <row r="150" spans="1:16" s="178" customFormat="1" ht="15.75">
      <c r="A150" s="172">
        <v>1212000</v>
      </c>
      <c r="B150" s="173" t="s">
        <v>315</v>
      </c>
      <c r="C150" s="212">
        <v>511200</v>
      </c>
      <c r="D150" s="209">
        <v>0</v>
      </c>
      <c r="E150" s="210">
        <v>0</v>
      </c>
      <c r="F150" s="214"/>
      <c r="G150" s="209">
        <v>0</v>
      </c>
      <c r="H150" s="210">
        <v>0</v>
      </c>
      <c r="I150" s="214"/>
      <c r="J150" s="209">
        <v>0</v>
      </c>
      <c r="K150" s="210">
        <v>0</v>
      </c>
      <c r="L150" s="214"/>
      <c r="M150" s="209">
        <v>0</v>
      </c>
      <c r="N150" s="210">
        <v>0</v>
      </c>
      <c r="O150" s="214"/>
      <c r="P150" s="170"/>
    </row>
    <row r="151" spans="1:16" s="178" customFormat="1" ht="27">
      <c r="A151" s="172">
        <v>1213000</v>
      </c>
      <c r="B151" s="159" t="s">
        <v>316</v>
      </c>
      <c r="C151" s="212">
        <v>511300</v>
      </c>
      <c r="D151" s="209">
        <v>0</v>
      </c>
      <c r="E151" s="210">
        <v>0</v>
      </c>
      <c r="F151" s="214"/>
      <c r="G151" s="209">
        <v>0</v>
      </c>
      <c r="H151" s="210">
        <v>0</v>
      </c>
      <c r="I151" s="214"/>
      <c r="J151" s="209">
        <v>0</v>
      </c>
      <c r="K151" s="210">
        <v>0</v>
      </c>
      <c r="L151" s="214"/>
      <c r="M151" s="209">
        <v>0</v>
      </c>
      <c r="N151" s="210">
        <v>0</v>
      </c>
      <c r="O151" s="214"/>
      <c r="P151" s="170" t="s">
        <v>317</v>
      </c>
    </row>
    <row r="152" spans="1:16" s="178" customFormat="1" ht="15.75">
      <c r="A152" s="172">
        <v>1214000</v>
      </c>
      <c r="B152" s="159" t="s">
        <v>318</v>
      </c>
      <c r="C152" s="212">
        <v>512100</v>
      </c>
      <c r="D152" s="209">
        <v>0</v>
      </c>
      <c r="E152" s="210">
        <v>0</v>
      </c>
      <c r="F152" s="214"/>
      <c r="G152" s="209">
        <v>0</v>
      </c>
      <c r="H152" s="210">
        <v>0</v>
      </c>
      <c r="I152" s="214"/>
      <c r="J152" s="209">
        <v>0</v>
      </c>
      <c r="K152" s="210">
        <v>0</v>
      </c>
      <c r="L152" s="214"/>
      <c r="M152" s="209">
        <v>0</v>
      </c>
      <c r="N152" s="210">
        <v>0</v>
      </c>
      <c r="O152" s="214"/>
      <c r="P152" s="170"/>
    </row>
    <row r="153" spans="1:16" s="178" customFormat="1" ht="15.75">
      <c r="A153" s="172">
        <v>1215000</v>
      </c>
      <c r="B153" s="173" t="s">
        <v>319</v>
      </c>
      <c r="C153" s="212">
        <v>512200</v>
      </c>
      <c r="D153" s="209">
        <v>0</v>
      </c>
      <c r="E153" s="210">
        <v>0</v>
      </c>
      <c r="F153" s="214"/>
      <c r="G153" s="209">
        <v>0</v>
      </c>
      <c r="H153" s="210">
        <v>0</v>
      </c>
      <c r="I153" s="214"/>
      <c r="J153" s="209"/>
      <c r="K153" s="210"/>
      <c r="L153" s="214"/>
      <c r="M153" s="209"/>
      <c r="N153" s="210"/>
      <c r="O153" s="214"/>
      <c r="P153" s="170" t="s">
        <v>320</v>
      </c>
    </row>
    <row r="154" spans="1:16" s="178" customFormat="1" ht="15.75">
      <c r="A154" s="172">
        <v>1216000</v>
      </c>
      <c r="B154" s="159" t="s">
        <v>321</v>
      </c>
      <c r="C154" s="212">
        <v>512900</v>
      </c>
      <c r="D154" s="209">
        <v>0</v>
      </c>
      <c r="E154" s="210">
        <v>0</v>
      </c>
      <c r="F154" s="214"/>
      <c r="G154" s="209">
        <v>0</v>
      </c>
      <c r="H154" s="210">
        <v>0</v>
      </c>
      <c r="I154" s="214"/>
      <c r="J154" s="209">
        <v>0</v>
      </c>
      <c r="K154" s="210">
        <v>0</v>
      </c>
      <c r="L154" s="214"/>
      <c r="M154" s="209">
        <v>0</v>
      </c>
      <c r="N154" s="210">
        <v>0</v>
      </c>
      <c r="O154" s="214"/>
      <c r="P154" s="170" t="s">
        <v>322</v>
      </c>
    </row>
    <row r="155" spans="1:16" s="178" customFormat="1" ht="15.75">
      <c r="A155" s="172">
        <v>1217000</v>
      </c>
      <c r="B155" s="159" t="s">
        <v>323</v>
      </c>
      <c r="C155" s="212">
        <v>513100</v>
      </c>
      <c r="D155" s="209">
        <v>0</v>
      </c>
      <c r="E155" s="210">
        <v>0</v>
      </c>
      <c r="F155" s="214"/>
      <c r="G155" s="209">
        <v>0</v>
      </c>
      <c r="H155" s="210">
        <v>0</v>
      </c>
      <c r="I155" s="214"/>
      <c r="J155" s="209">
        <v>0</v>
      </c>
      <c r="K155" s="210">
        <v>0</v>
      </c>
      <c r="L155" s="214"/>
      <c r="M155" s="209">
        <v>0</v>
      </c>
      <c r="N155" s="210">
        <v>0</v>
      </c>
      <c r="O155" s="214"/>
      <c r="P155" s="170"/>
    </row>
    <row r="156" spans="1:16" s="178" customFormat="1" ht="15.75">
      <c r="A156" s="172">
        <v>1218100</v>
      </c>
      <c r="B156" s="159" t="s">
        <v>324</v>
      </c>
      <c r="C156" s="212">
        <v>513200</v>
      </c>
      <c r="D156" s="209">
        <v>0</v>
      </c>
      <c r="E156" s="210">
        <v>0</v>
      </c>
      <c r="F156" s="214"/>
      <c r="G156" s="209">
        <v>0</v>
      </c>
      <c r="H156" s="210">
        <v>0</v>
      </c>
      <c r="I156" s="214"/>
      <c r="J156" s="209">
        <v>0</v>
      </c>
      <c r="K156" s="210">
        <v>0</v>
      </c>
      <c r="L156" s="214"/>
      <c r="M156" s="209">
        <v>0</v>
      </c>
      <c r="N156" s="210">
        <v>0</v>
      </c>
      <c r="O156" s="214"/>
      <c r="P156" s="170" t="s">
        <v>325</v>
      </c>
    </row>
    <row r="157" spans="1:16" s="178" customFormat="1" ht="15.75">
      <c r="A157" s="172">
        <v>1218200</v>
      </c>
      <c r="B157" s="173" t="s">
        <v>326</v>
      </c>
      <c r="C157" s="212">
        <v>513300</v>
      </c>
      <c r="D157" s="209">
        <v>0</v>
      </c>
      <c r="E157" s="210">
        <v>0</v>
      </c>
      <c r="F157" s="214"/>
      <c r="G157" s="209">
        <v>0</v>
      </c>
      <c r="H157" s="210">
        <v>0</v>
      </c>
      <c r="I157" s="214"/>
      <c r="J157" s="209">
        <v>0</v>
      </c>
      <c r="K157" s="210">
        <v>0</v>
      </c>
      <c r="L157" s="214"/>
      <c r="M157" s="209">
        <v>0</v>
      </c>
      <c r="N157" s="210">
        <v>0</v>
      </c>
      <c r="O157" s="214"/>
      <c r="P157" s="170"/>
    </row>
    <row r="158" spans="1:16" s="178" customFormat="1" ht="15.75">
      <c r="A158" s="172">
        <v>1218300</v>
      </c>
      <c r="B158" s="173" t="s">
        <v>327</v>
      </c>
      <c r="C158" s="212">
        <v>513400</v>
      </c>
      <c r="D158" s="209">
        <v>0</v>
      </c>
      <c r="E158" s="210">
        <v>0</v>
      </c>
      <c r="F158" s="214"/>
      <c r="G158" s="209">
        <v>0</v>
      </c>
      <c r="H158" s="210">
        <v>0</v>
      </c>
      <c r="I158" s="214"/>
      <c r="J158" s="209">
        <v>0</v>
      </c>
      <c r="K158" s="210">
        <v>0</v>
      </c>
      <c r="L158" s="214"/>
      <c r="M158" s="209">
        <v>0</v>
      </c>
      <c r="N158" s="210">
        <v>0</v>
      </c>
      <c r="O158" s="214"/>
      <c r="P158" s="170" t="s">
        <v>328</v>
      </c>
    </row>
    <row r="159" spans="1:16" s="186" customFormat="1" ht="27">
      <c r="A159" s="184">
        <v>1220000</v>
      </c>
      <c r="B159" s="185" t="s">
        <v>329</v>
      </c>
      <c r="C159" s="217" t="s">
        <v>163</v>
      </c>
      <c r="D159" s="218">
        <v>0</v>
      </c>
      <c r="E159" s="219">
        <v>0</v>
      </c>
      <c r="F159" s="220">
        <f>SUM(F160:F163)</f>
        <v>0</v>
      </c>
      <c r="G159" s="218">
        <v>0</v>
      </c>
      <c r="H159" s="219">
        <v>0</v>
      </c>
      <c r="I159" s="220">
        <f>SUM(I160:I163)</f>
        <v>0</v>
      </c>
      <c r="J159" s="218">
        <v>0</v>
      </c>
      <c r="K159" s="219">
        <v>0</v>
      </c>
      <c r="L159" s="220">
        <f>SUM(L160:L163)</f>
        <v>0</v>
      </c>
      <c r="M159" s="218">
        <v>0</v>
      </c>
      <c r="N159" s="219">
        <v>0</v>
      </c>
      <c r="O159" s="220">
        <f>SUM(O160:O163)</f>
        <v>0</v>
      </c>
      <c r="P159" s="156"/>
    </row>
    <row r="160" spans="1:16" s="178" customFormat="1" ht="15.75">
      <c r="A160" s="172">
        <v>1221000</v>
      </c>
      <c r="B160" s="173" t="s">
        <v>330</v>
      </c>
      <c r="C160" s="212">
        <v>521100</v>
      </c>
      <c r="D160" s="209">
        <v>0</v>
      </c>
      <c r="E160" s="210">
        <v>0</v>
      </c>
      <c r="F160" s="214"/>
      <c r="G160" s="209">
        <v>0</v>
      </c>
      <c r="H160" s="210">
        <v>0</v>
      </c>
      <c r="I160" s="214"/>
      <c r="J160" s="209">
        <v>0</v>
      </c>
      <c r="K160" s="210">
        <v>0</v>
      </c>
      <c r="L160" s="214"/>
      <c r="M160" s="209">
        <v>0</v>
      </c>
      <c r="N160" s="210">
        <v>0</v>
      </c>
      <c r="O160" s="214"/>
      <c r="P160" s="170"/>
    </row>
    <row r="161" spans="1:16" s="178" customFormat="1" ht="15.75">
      <c r="A161" s="172">
        <v>1222000</v>
      </c>
      <c r="B161" s="173" t="s">
        <v>331</v>
      </c>
      <c r="C161" s="212">
        <v>522100</v>
      </c>
      <c r="D161" s="209">
        <v>0</v>
      </c>
      <c r="E161" s="210">
        <v>0</v>
      </c>
      <c r="F161" s="214"/>
      <c r="G161" s="209">
        <v>0</v>
      </c>
      <c r="H161" s="210">
        <v>0</v>
      </c>
      <c r="I161" s="214"/>
      <c r="J161" s="209">
        <v>0</v>
      </c>
      <c r="K161" s="210">
        <v>0</v>
      </c>
      <c r="L161" s="214"/>
      <c r="M161" s="209">
        <v>0</v>
      </c>
      <c r="N161" s="210">
        <v>0</v>
      </c>
      <c r="O161" s="214"/>
      <c r="P161" s="170"/>
    </row>
    <row r="162" spans="1:16" s="178" customFormat="1" ht="27">
      <c r="A162" s="172">
        <v>1223000</v>
      </c>
      <c r="B162" s="159" t="s">
        <v>332</v>
      </c>
      <c r="C162" s="212">
        <v>523100</v>
      </c>
      <c r="D162" s="209">
        <v>0</v>
      </c>
      <c r="E162" s="210">
        <v>0</v>
      </c>
      <c r="F162" s="214"/>
      <c r="G162" s="209">
        <v>0</v>
      </c>
      <c r="H162" s="210">
        <v>0</v>
      </c>
      <c r="I162" s="214"/>
      <c r="J162" s="209">
        <v>0</v>
      </c>
      <c r="K162" s="210">
        <v>0</v>
      </c>
      <c r="L162" s="214"/>
      <c r="M162" s="209">
        <v>0</v>
      </c>
      <c r="N162" s="210">
        <v>0</v>
      </c>
      <c r="O162" s="214"/>
      <c r="P162" s="170"/>
    </row>
    <row r="163" spans="1:16" s="178" customFormat="1" ht="15.75">
      <c r="A163" s="172">
        <v>1224000</v>
      </c>
      <c r="B163" s="159" t="s">
        <v>333</v>
      </c>
      <c r="C163" s="212">
        <v>524100</v>
      </c>
      <c r="D163" s="209">
        <v>0</v>
      </c>
      <c r="E163" s="210">
        <v>0</v>
      </c>
      <c r="F163" s="214"/>
      <c r="G163" s="209">
        <v>0</v>
      </c>
      <c r="H163" s="210">
        <v>0</v>
      </c>
      <c r="I163" s="214"/>
      <c r="J163" s="209">
        <v>0</v>
      </c>
      <c r="K163" s="210">
        <v>0</v>
      </c>
      <c r="L163" s="214"/>
      <c r="M163" s="209">
        <v>0</v>
      </c>
      <c r="N163" s="210">
        <v>0</v>
      </c>
      <c r="O163" s="214"/>
      <c r="P163" s="170"/>
    </row>
    <row r="164" spans="1:16" s="186" customFormat="1" ht="27">
      <c r="A164" s="184">
        <v>1230000</v>
      </c>
      <c r="B164" s="185" t="s">
        <v>334</v>
      </c>
      <c r="C164" s="217" t="s">
        <v>163</v>
      </c>
      <c r="D164" s="218">
        <v>0</v>
      </c>
      <c r="E164" s="219">
        <v>0</v>
      </c>
      <c r="F164" s="220">
        <f>F165</f>
        <v>0</v>
      </c>
      <c r="G164" s="218">
        <v>0</v>
      </c>
      <c r="H164" s="219">
        <v>0</v>
      </c>
      <c r="I164" s="220">
        <f>I165</f>
        <v>0</v>
      </c>
      <c r="J164" s="218">
        <v>0</v>
      </c>
      <c r="K164" s="219">
        <v>0</v>
      </c>
      <c r="L164" s="220">
        <f>L165</f>
        <v>0</v>
      </c>
      <c r="M164" s="218">
        <v>0</v>
      </c>
      <c r="N164" s="219">
        <v>0</v>
      </c>
      <c r="O164" s="220">
        <f>O165</f>
        <v>0</v>
      </c>
      <c r="P164" s="156"/>
    </row>
    <row r="165" spans="1:16" s="178" customFormat="1" ht="15.75">
      <c r="A165" s="172">
        <v>1231000</v>
      </c>
      <c r="B165" s="173" t="s">
        <v>335</v>
      </c>
      <c r="C165" s="212">
        <v>531100</v>
      </c>
      <c r="D165" s="209">
        <v>0</v>
      </c>
      <c r="E165" s="210">
        <v>0</v>
      </c>
      <c r="F165" s="214"/>
      <c r="G165" s="209">
        <v>0</v>
      </c>
      <c r="H165" s="210">
        <v>0</v>
      </c>
      <c r="I165" s="214"/>
      <c r="J165" s="209">
        <v>0</v>
      </c>
      <c r="K165" s="210">
        <v>0</v>
      </c>
      <c r="L165" s="214"/>
      <c r="M165" s="209">
        <v>0</v>
      </c>
      <c r="N165" s="210">
        <v>0</v>
      </c>
      <c r="O165" s="214"/>
      <c r="P165" s="170"/>
    </row>
    <row r="166" spans="1:16" s="186" customFormat="1" ht="27">
      <c r="A166" s="184">
        <v>1240000</v>
      </c>
      <c r="B166" s="185" t="s">
        <v>336</v>
      </c>
      <c r="C166" s="217" t="s">
        <v>163</v>
      </c>
      <c r="D166" s="218">
        <v>0</v>
      </c>
      <c r="E166" s="219">
        <v>0</v>
      </c>
      <c r="F166" s="220">
        <f>SUM(F167:F170)</f>
        <v>0</v>
      </c>
      <c r="G166" s="218">
        <v>0</v>
      </c>
      <c r="H166" s="219">
        <v>0</v>
      </c>
      <c r="I166" s="220">
        <f>SUM(I167:I170)</f>
        <v>0</v>
      </c>
      <c r="J166" s="218">
        <v>0</v>
      </c>
      <c r="K166" s="219">
        <v>0</v>
      </c>
      <c r="L166" s="220">
        <f>SUM(L167:L170)</f>
        <v>0</v>
      </c>
      <c r="M166" s="218">
        <v>0</v>
      </c>
      <c r="N166" s="219">
        <v>0</v>
      </c>
      <c r="O166" s="220">
        <f>SUM(O167:O170)</f>
        <v>0</v>
      </c>
      <c r="P166" s="156"/>
    </row>
    <row r="167" spans="1:16" s="178" customFormat="1" ht="15.75">
      <c r="A167" s="172">
        <v>1241000</v>
      </c>
      <c r="B167" s="173" t="s">
        <v>337</v>
      </c>
      <c r="C167" s="212">
        <v>541100</v>
      </c>
      <c r="D167" s="209">
        <v>0</v>
      </c>
      <c r="E167" s="210">
        <v>0</v>
      </c>
      <c r="F167" s="214"/>
      <c r="G167" s="209">
        <v>0</v>
      </c>
      <c r="H167" s="210">
        <v>0</v>
      </c>
      <c r="I167" s="214"/>
      <c r="J167" s="209">
        <v>0</v>
      </c>
      <c r="K167" s="210">
        <v>0</v>
      </c>
      <c r="L167" s="214"/>
      <c r="M167" s="209">
        <v>0</v>
      </c>
      <c r="N167" s="210">
        <v>0</v>
      </c>
      <c r="O167" s="214"/>
      <c r="P167" s="170"/>
    </row>
    <row r="168" spans="1:16" s="178" customFormat="1" ht="15.75">
      <c r="A168" s="172">
        <v>1242000</v>
      </c>
      <c r="B168" s="173" t="s">
        <v>338</v>
      </c>
      <c r="C168" s="212">
        <v>542100</v>
      </c>
      <c r="D168" s="209">
        <v>0</v>
      </c>
      <c r="E168" s="210">
        <v>0</v>
      </c>
      <c r="F168" s="214"/>
      <c r="G168" s="209">
        <v>0</v>
      </c>
      <c r="H168" s="210">
        <v>0</v>
      </c>
      <c r="I168" s="214"/>
      <c r="J168" s="209">
        <v>0</v>
      </c>
      <c r="K168" s="210">
        <v>0</v>
      </c>
      <c r="L168" s="214"/>
      <c r="M168" s="209">
        <v>0</v>
      </c>
      <c r="N168" s="210">
        <v>0</v>
      </c>
      <c r="O168" s="214"/>
      <c r="P168" s="170"/>
    </row>
    <row r="169" spans="1:16" s="178" customFormat="1" ht="15.75">
      <c r="A169" s="172">
        <v>1243000</v>
      </c>
      <c r="B169" s="159" t="s">
        <v>339</v>
      </c>
      <c r="C169" s="212">
        <v>543100</v>
      </c>
      <c r="D169" s="209">
        <v>0</v>
      </c>
      <c r="E169" s="210">
        <v>0</v>
      </c>
      <c r="F169" s="214"/>
      <c r="G169" s="209">
        <v>0</v>
      </c>
      <c r="H169" s="210">
        <v>0</v>
      </c>
      <c r="I169" s="214"/>
      <c r="J169" s="209">
        <v>0</v>
      </c>
      <c r="K169" s="210">
        <v>0</v>
      </c>
      <c r="L169" s="214"/>
      <c r="M169" s="209">
        <v>0</v>
      </c>
      <c r="N169" s="210">
        <v>0</v>
      </c>
      <c r="O169" s="214"/>
      <c r="P169" s="170"/>
    </row>
    <row r="170" spans="1:16" s="178" customFormat="1" ht="15.75">
      <c r="A170" s="172">
        <v>1244000</v>
      </c>
      <c r="B170" s="159" t="s">
        <v>340</v>
      </c>
      <c r="C170" s="212">
        <v>544100</v>
      </c>
      <c r="D170" s="209">
        <v>0</v>
      </c>
      <c r="E170" s="210">
        <v>0</v>
      </c>
      <c r="F170" s="214"/>
      <c r="G170" s="209">
        <v>0</v>
      </c>
      <c r="H170" s="210">
        <v>0</v>
      </c>
      <c r="I170" s="214"/>
      <c r="J170" s="209">
        <v>0</v>
      </c>
      <c r="K170" s="210">
        <v>0</v>
      </c>
      <c r="L170" s="214"/>
      <c r="M170" s="209">
        <v>0</v>
      </c>
      <c r="N170" s="210">
        <v>0</v>
      </c>
      <c r="O170" s="214"/>
      <c r="P170" s="170"/>
    </row>
    <row r="171" spans="1:16" s="157" customFormat="1" ht="40.5">
      <c r="A171" s="158">
        <v>1300000</v>
      </c>
      <c r="B171" s="159" t="s">
        <v>341</v>
      </c>
      <c r="C171" s="208" t="s">
        <v>163</v>
      </c>
      <c r="D171" s="215">
        <v>0</v>
      </c>
      <c r="E171" s="216">
        <v>0</v>
      </c>
      <c r="F171" s="211">
        <f>-SUM(F172:F175)</f>
        <v>0</v>
      </c>
      <c r="G171" s="215">
        <v>0</v>
      </c>
      <c r="H171" s="216">
        <v>0</v>
      </c>
      <c r="I171" s="211">
        <f>-SUM(I172:I175)</f>
        <v>0</v>
      </c>
      <c r="J171" s="215">
        <v>0</v>
      </c>
      <c r="K171" s="216">
        <v>0</v>
      </c>
      <c r="L171" s="211">
        <f>-SUM(L172:L175)</f>
        <v>0</v>
      </c>
      <c r="M171" s="215">
        <v>0</v>
      </c>
      <c r="N171" s="216">
        <v>0</v>
      </c>
      <c r="O171" s="211">
        <f>-SUM(O172:O175)</f>
        <v>0</v>
      </c>
      <c r="P171" s="156"/>
    </row>
    <row r="172" spans="1:16" s="178" customFormat="1" ht="15.75">
      <c r="A172" s="172">
        <v>1311000</v>
      </c>
      <c r="B172" s="173" t="s">
        <v>342</v>
      </c>
      <c r="C172" s="212" t="s">
        <v>163</v>
      </c>
      <c r="D172" s="209">
        <v>0</v>
      </c>
      <c r="E172" s="210">
        <v>0</v>
      </c>
      <c r="F172" s="214"/>
      <c r="G172" s="209">
        <v>0</v>
      </c>
      <c r="H172" s="210">
        <v>0</v>
      </c>
      <c r="I172" s="214"/>
      <c r="J172" s="209">
        <v>0</v>
      </c>
      <c r="K172" s="210">
        <v>0</v>
      </c>
      <c r="L172" s="214"/>
      <c r="M172" s="209">
        <v>0</v>
      </c>
      <c r="N172" s="210">
        <v>0</v>
      </c>
      <c r="O172" s="214"/>
      <c r="P172" s="170"/>
    </row>
    <row r="173" spans="1:16" s="178" customFormat="1" ht="15.75">
      <c r="A173" s="172">
        <v>1312000</v>
      </c>
      <c r="B173" s="173" t="s">
        <v>343</v>
      </c>
      <c r="C173" s="212" t="s">
        <v>163</v>
      </c>
      <c r="D173" s="209">
        <v>0</v>
      </c>
      <c r="E173" s="210">
        <v>0</v>
      </c>
      <c r="F173" s="214"/>
      <c r="G173" s="209">
        <v>0</v>
      </c>
      <c r="H173" s="210">
        <v>0</v>
      </c>
      <c r="I173" s="214"/>
      <c r="J173" s="209">
        <v>0</v>
      </c>
      <c r="K173" s="210">
        <v>0</v>
      </c>
      <c r="L173" s="214"/>
      <c r="M173" s="209">
        <v>0</v>
      </c>
      <c r="N173" s="210">
        <v>0</v>
      </c>
      <c r="O173" s="214"/>
      <c r="P173" s="170"/>
    </row>
    <row r="174" spans="1:16" s="178" customFormat="1" ht="15.75">
      <c r="A174" s="172">
        <v>1313000</v>
      </c>
      <c r="B174" s="173" t="s">
        <v>344</v>
      </c>
      <c r="C174" s="212" t="s">
        <v>163</v>
      </c>
      <c r="D174" s="209">
        <v>0</v>
      </c>
      <c r="E174" s="210">
        <v>0</v>
      </c>
      <c r="F174" s="214"/>
      <c r="G174" s="209">
        <v>0</v>
      </c>
      <c r="H174" s="210">
        <v>0</v>
      </c>
      <c r="I174" s="214"/>
      <c r="J174" s="209">
        <v>0</v>
      </c>
      <c r="K174" s="210">
        <v>0</v>
      </c>
      <c r="L174" s="214"/>
      <c r="M174" s="209">
        <v>0</v>
      </c>
      <c r="N174" s="210">
        <v>0</v>
      </c>
      <c r="O174" s="214"/>
      <c r="P174" s="170"/>
    </row>
    <row r="175" spans="1:16" s="178" customFormat="1" ht="15.75">
      <c r="A175" s="172">
        <v>1314000</v>
      </c>
      <c r="B175" s="173" t="s">
        <v>345</v>
      </c>
      <c r="C175" s="212" t="s">
        <v>163</v>
      </c>
      <c r="D175" s="209">
        <v>0</v>
      </c>
      <c r="E175" s="210">
        <v>0</v>
      </c>
      <c r="F175" s="214"/>
      <c r="G175" s="209">
        <v>0</v>
      </c>
      <c r="H175" s="210">
        <v>0</v>
      </c>
      <c r="I175" s="214"/>
      <c r="J175" s="209">
        <v>0</v>
      </c>
      <c r="K175" s="210">
        <v>0</v>
      </c>
      <c r="L175" s="214"/>
      <c r="M175" s="209">
        <v>0</v>
      </c>
      <c r="N175" s="210">
        <v>0</v>
      </c>
      <c r="O175" s="214"/>
      <c r="P175" s="170"/>
    </row>
    <row r="176" spans="1:16" s="157" customFormat="1" ht="40.5">
      <c r="A176" s="158">
        <v>3000000</v>
      </c>
      <c r="B176" s="159" t="s">
        <v>346</v>
      </c>
      <c r="C176" s="208" t="s">
        <v>163</v>
      </c>
      <c r="D176" s="215">
        <v>0</v>
      </c>
      <c r="E176" s="216">
        <v>0</v>
      </c>
      <c r="F176" s="211">
        <v>7738.3</v>
      </c>
      <c r="G176" s="215">
        <v>0</v>
      </c>
      <c r="H176" s="216">
        <v>0</v>
      </c>
      <c r="I176" s="211">
        <v>7738.3</v>
      </c>
      <c r="J176" s="215">
        <v>0</v>
      </c>
      <c r="K176" s="216">
        <v>0</v>
      </c>
      <c r="L176" s="211">
        <v>7738.3</v>
      </c>
      <c r="M176" s="215">
        <v>0</v>
      </c>
      <c r="N176" s="216">
        <v>0</v>
      </c>
      <c r="O176" s="211">
        <v>7738.3</v>
      </c>
      <c r="P176" s="190"/>
    </row>
    <row r="177" spans="1:20" s="157" customFormat="1" ht="27">
      <c r="A177" s="158">
        <v>5000000</v>
      </c>
      <c r="B177" s="159" t="s">
        <v>347</v>
      </c>
      <c r="C177" s="208"/>
      <c r="D177" s="215">
        <v>0</v>
      </c>
      <c r="E177" s="216">
        <v>0</v>
      </c>
      <c r="F177" s="211">
        <f>F178</f>
        <v>7738.3119999999999</v>
      </c>
      <c r="G177" s="215">
        <v>0</v>
      </c>
      <c r="H177" s="216">
        <v>0</v>
      </c>
      <c r="I177" s="211">
        <f>I178</f>
        <v>7738.3119999999999</v>
      </c>
      <c r="J177" s="215">
        <v>0</v>
      </c>
      <c r="K177" s="216">
        <v>0</v>
      </c>
      <c r="L177" s="211">
        <f>L178</f>
        <v>7738.3119999999999</v>
      </c>
      <c r="M177" s="215">
        <v>0</v>
      </c>
      <c r="N177" s="216">
        <v>0</v>
      </c>
      <c r="O177" s="211">
        <f>O178</f>
        <v>7738.3119999999999</v>
      </c>
      <c r="P177" s="190"/>
    </row>
    <row r="178" spans="1:20" s="186" customFormat="1" ht="40.5">
      <c r="A178" s="184">
        <v>5124000</v>
      </c>
      <c r="B178" s="185" t="s">
        <v>348</v>
      </c>
      <c r="C178" s="217" t="s">
        <v>163</v>
      </c>
      <c r="D178" s="218">
        <v>0</v>
      </c>
      <c r="E178" s="219">
        <v>0</v>
      </c>
      <c r="F178" s="221">
        <v>7738.3119999999999</v>
      </c>
      <c r="G178" s="218">
        <v>0</v>
      </c>
      <c r="H178" s="219">
        <v>0</v>
      </c>
      <c r="I178" s="221">
        <v>7738.3119999999999</v>
      </c>
      <c r="J178" s="218">
        <v>0</v>
      </c>
      <c r="K178" s="219">
        <v>0</v>
      </c>
      <c r="L178" s="221">
        <v>7738.3119999999999</v>
      </c>
      <c r="M178" s="218">
        <v>0</v>
      </c>
      <c r="N178" s="219">
        <v>0</v>
      </c>
      <c r="O178" s="221">
        <v>7738.3119999999999</v>
      </c>
      <c r="P178" s="170" t="s">
        <v>349</v>
      </c>
      <c r="T178" s="191"/>
    </row>
    <row r="179" spans="1:20" s="186" customFormat="1" ht="54">
      <c r="A179" s="184">
        <v>5125000</v>
      </c>
      <c r="B179" s="185" t="s">
        <v>350</v>
      </c>
      <c r="C179" s="217" t="s">
        <v>163</v>
      </c>
      <c r="D179" s="218">
        <v>0</v>
      </c>
      <c r="E179" s="219">
        <v>0</v>
      </c>
      <c r="F179" s="220">
        <f>SUM(F180:F181)</f>
        <v>0</v>
      </c>
      <c r="G179" s="218">
        <v>0</v>
      </c>
      <c r="H179" s="219">
        <v>0</v>
      </c>
      <c r="I179" s="220">
        <f>SUM(I180:I181)</f>
        <v>0</v>
      </c>
      <c r="J179" s="218">
        <v>0</v>
      </c>
      <c r="K179" s="219">
        <v>0</v>
      </c>
      <c r="L179" s="220">
        <f>SUM(L180:L181)</f>
        <v>0</v>
      </c>
      <c r="M179" s="218">
        <v>0</v>
      </c>
      <c r="N179" s="219">
        <v>0</v>
      </c>
      <c r="O179" s="220">
        <f>SUM(O180:O181)</f>
        <v>0</v>
      </c>
      <c r="P179" s="156"/>
    </row>
    <row r="180" spans="1:20" s="178" customFormat="1" ht="15.75">
      <c r="A180" s="172">
        <v>5125100</v>
      </c>
      <c r="B180" s="173" t="s">
        <v>351</v>
      </c>
      <c r="C180" s="212" t="s">
        <v>163</v>
      </c>
      <c r="D180" s="209">
        <v>0</v>
      </c>
      <c r="E180" s="210">
        <v>0</v>
      </c>
      <c r="F180" s="214"/>
      <c r="G180" s="209">
        <v>0</v>
      </c>
      <c r="H180" s="210">
        <v>0</v>
      </c>
      <c r="I180" s="214"/>
      <c r="J180" s="209">
        <v>0</v>
      </c>
      <c r="K180" s="210">
        <v>0</v>
      </c>
      <c r="L180" s="214"/>
      <c r="M180" s="209">
        <v>0</v>
      </c>
      <c r="N180" s="210">
        <v>0</v>
      </c>
      <c r="O180" s="214"/>
      <c r="P180" s="170"/>
    </row>
    <row r="181" spans="1:20" s="178" customFormat="1" ht="15.75">
      <c r="A181" s="172">
        <v>5125200</v>
      </c>
      <c r="B181" s="173" t="s">
        <v>352</v>
      </c>
      <c r="C181" s="212" t="s">
        <v>163</v>
      </c>
      <c r="D181" s="209">
        <v>0</v>
      </c>
      <c r="E181" s="210">
        <v>0</v>
      </c>
      <c r="F181" s="214"/>
      <c r="G181" s="209">
        <v>0</v>
      </c>
      <c r="H181" s="210">
        <v>0</v>
      </c>
      <c r="I181" s="214"/>
      <c r="J181" s="209">
        <v>0</v>
      </c>
      <c r="K181" s="210">
        <v>0</v>
      </c>
      <c r="L181" s="214"/>
      <c r="M181" s="209">
        <v>0</v>
      </c>
      <c r="N181" s="210">
        <v>0</v>
      </c>
      <c r="O181" s="214"/>
      <c r="P181" s="170"/>
    </row>
    <row r="182" spans="1:20" s="186" customFormat="1" ht="27.75" thickBot="1">
      <c r="A182" s="192">
        <v>5126000</v>
      </c>
      <c r="B182" s="193" t="s">
        <v>353</v>
      </c>
      <c r="C182" s="222" t="s">
        <v>163</v>
      </c>
      <c r="D182" s="223">
        <v>0</v>
      </c>
      <c r="E182" s="224">
        <v>0</v>
      </c>
      <c r="F182" s="225">
        <f>-(F177-F176)</f>
        <v>-1.1999999999716238E-2</v>
      </c>
      <c r="G182" s="225">
        <f t="shared" ref="G182:N182" si="5">-(G177-G176)</f>
        <v>0</v>
      </c>
      <c r="H182" s="225">
        <f t="shared" si="5"/>
        <v>0</v>
      </c>
      <c r="I182" s="225">
        <f t="shared" si="5"/>
        <v>-1.1999999999716238E-2</v>
      </c>
      <c r="J182" s="225">
        <f t="shared" si="5"/>
        <v>0</v>
      </c>
      <c r="K182" s="225">
        <f t="shared" si="5"/>
        <v>0</v>
      </c>
      <c r="L182" s="225">
        <f t="shared" si="5"/>
        <v>-1.1999999999716238E-2</v>
      </c>
      <c r="M182" s="225">
        <f t="shared" si="5"/>
        <v>0</v>
      </c>
      <c r="N182" s="225">
        <f t="shared" si="5"/>
        <v>0</v>
      </c>
      <c r="O182" s="225">
        <f>O177-O176</f>
        <v>1.1999999999716238E-2</v>
      </c>
      <c r="P182" s="194"/>
    </row>
    <row r="183" spans="1:20" ht="15.75">
      <c r="A183" s="140"/>
      <c r="B183" s="141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</row>
    <row r="184" spans="1:20" ht="15.75">
      <c r="A184" s="140"/>
      <c r="B184" s="196" t="s">
        <v>354</v>
      </c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</row>
    <row r="185" spans="1:20" ht="15.75">
      <c r="A185" s="140"/>
      <c r="B185" s="141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</row>
    <row r="186" spans="1:20" s="200" customFormat="1" ht="16.5">
      <c r="A186" s="197"/>
      <c r="B186" s="198" t="s">
        <v>355</v>
      </c>
      <c r="C186" s="286"/>
      <c r="D186" s="286"/>
      <c r="E186" s="286"/>
      <c r="F186" s="286"/>
      <c r="G186" s="199"/>
      <c r="H186" s="227"/>
      <c r="I186" s="227"/>
      <c r="J186" s="227"/>
      <c r="K186" s="227"/>
      <c r="L186" s="227"/>
      <c r="M186" s="227"/>
      <c r="N186" s="227"/>
      <c r="O186" s="227"/>
    </row>
    <row r="187" spans="1:20" s="200" customFormat="1" ht="16.5">
      <c r="A187" s="197"/>
      <c r="B187" s="201"/>
      <c r="C187" s="285" t="s">
        <v>356</v>
      </c>
      <c r="D187" s="285"/>
      <c r="E187" s="285"/>
      <c r="F187" s="285"/>
      <c r="G187" s="197"/>
      <c r="H187" s="197"/>
      <c r="I187" s="197"/>
      <c r="J187" s="197"/>
      <c r="K187" s="197"/>
      <c r="L187" s="197"/>
      <c r="M187" s="197"/>
      <c r="N187" s="197"/>
      <c r="O187" s="197"/>
    </row>
    <row r="188" spans="1:20" s="200" customFormat="1" ht="16.5">
      <c r="A188" s="197"/>
      <c r="B188" s="201"/>
      <c r="C188" s="202"/>
      <c r="D188" s="202"/>
      <c r="E188" s="197"/>
      <c r="F188" s="203" t="s">
        <v>357</v>
      </c>
      <c r="G188" s="197"/>
      <c r="H188" s="197"/>
      <c r="I188" s="197"/>
      <c r="J188" s="197"/>
      <c r="K188" s="197"/>
      <c r="L188" s="197"/>
      <c r="M188" s="197"/>
      <c r="N188" s="197"/>
      <c r="O188" s="197"/>
    </row>
    <row r="189" spans="1:20" s="205" customFormat="1" ht="15.75">
      <c r="A189" s="203"/>
      <c r="B189" s="204" t="s">
        <v>116</v>
      </c>
      <c r="C189" s="287"/>
      <c r="D189" s="287"/>
      <c r="E189" s="287"/>
      <c r="F189" s="287"/>
      <c r="G189" s="287"/>
      <c r="H189" s="203"/>
      <c r="I189" s="203"/>
      <c r="J189" s="203"/>
      <c r="K189" s="203"/>
      <c r="L189" s="203"/>
      <c r="M189" s="203"/>
      <c r="N189" s="203"/>
      <c r="O189" s="203"/>
    </row>
    <row r="190" spans="1:20" s="205" customFormat="1">
      <c r="A190" s="203"/>
      <c r="B190" s="203"/>
      <c r="C190" s="285" t="s">
        <v>356</v>
      </c>
      <c r="D190" s="285"/>
      <c r="E190" s="285"/>
      <c r="F190" s="285"/>
      <c r="G190" s="203"/>
      <c r="H190" s="203"/>
      <c r="I190" s="203"/>
      <c r="J190" s="203"/>
      <c r="K190" s="203"/>
      <c r="L190" s="203"/>
      <c r="M190" s="203"/>
      <c r="N190" s="203"/>
      <c r="O190" s="203"/>
    </row>
  </sheetData>
  <mergeCells count="33">
    <mergeCell ref="C190:F190"/>
    <mergeCell ref="M20:M21"/>
    <mergeCell ref="N20:N21"/>
    <mergeCell ref="O20:O21"/>
    <mergeCell ref="C186:F186"/>
    <mergeCell ref="C187:F187"/>
    <mergeCell ref="C189:G189"/>
    <mergeCell ref="M19:O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C13:E13"/>
    <mergeCell ref="F13:L13"/>
    <mergeCell ref="J14:M14"/>
    <mergeCell ref="F15:L15"/>
    <mergeCell ref="B17:E17"/>
    <mergeCell ref="A19:A21"/>
    <mergeCell ref="B19:C20"/>
    <mergeCell ref="D19:F19"/>
    <mergeCell ref="G19:I19"/>
    <mergeCell ref="J19:L19"/>
    <mergeCell ref="F11:L11"/>
    <mergeCell ref="B1:O1"/>
    <mergeCell ref="A2:B2"/>
    <mergeCell ref="C4:I4"/>
    <mergeCell ref="A7:O7"/>
    <mergeCell ref="A9:O9"/>
  </mergeCells>
  <pageMargins left="0.2" right="0.2" top="0.31" bottom="0.3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Vardzakalutyun</vt:lpstr>
      <vt:lpstr>Sheet1</vt:lpstr>
      <vt:lpstr>Sheet2</vt:lpstr>
      <vt:lpstr>client</vt:lpstr>
      <vt:lpstr>Vardzakalutyun!Print_Area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2020-01-15T05:10:38Z</dcterms:modified>
</cp:coreProperties>
</file>