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41" activeTab="1"/>
  </bookViews>
  <sheets>
    <sheet name="Ekamutneri hamematakan" sheetId="26" r:id="rId1"/>
    <sheet name="Dramakani hamematakan" sheetId="27" r:id="rId2"/>
  </sheets>
  <externalReferences>
    <externalReference r:id="rId3"/>
  </externalReferences>
  <definedNames>
    <definedName name="_COMPANYNAME">'[1]Page 1'!$B$12</definedName>
    <definedName name="_DATE2">'[1]Page 1'!$B$17</definedName>
    <definedName name="_xlnm.Print_Area" localSheetId="1">'Dramakani hamematakan'!$A$1:$E$100</definedName>
    <definedName name="_xlnm.Print_Area" localSheetId="0">'Ekamutneri hamematakan'!$A$1:$E$82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</definedNames>
  <calcPr calcId="124519"/>
  <fileRecoveryPr autoRecover="0"/>
</workbook>
</file>

<file path=xl/calcChain.xml><?xml version="1.0" encoding="utf-8"?>
<calcChain xmlns="http://schemas.openxmlformats.org/spreadsheetml/2006/main">
  <c r="D25" i="26"/>
  <c r="F54"/>
  <c r="F31"/>
  <c r="D66"/>
  <c r="D24" s="1"/>
  <c r="D23"/>
  <c r="D47"/>
  <c r="D44"/>
  <c r="D48"/>
  <c r="D45"/>
  <c r="D46"/>
  <c r="E43"/>
  <c r="D42"/>
  <c r="D52"/>
  <c r="D41"/>
  <c r="D40"/>
  <c r="D39"/>
  <c r="D36"/>
  <c r="D35"/>
  <c r="D33"/>
  <c r="D32"/>
  <c r="D31"/>
  <c r="D30"/>
  <c r="D13"/>
  <c r="D21"/>
  <c r="D14"/>
  <c r="D7"/>
  <c r="D14" i="27"/>
  <c r="F14" s="1"/>
  <c r="D15"/>
  <c r="C25" i="26"/>
  <c r="F13"/>
  <c r="D63" i="27"/>
  <c r="D46"/>
  <c r="D33"/>
  <c r="D43"/>
  <c r="D64"/>
  <c r="D44"/>
  <c r="D47"/>
  <c r="D39"/>
  <c r="D51"/>
  <c r="D41"/>
  <c r="D40"/>
  <c r="D30"/>
  <c r="D31"/>
  <c r="D36"/>
  <c r="D35"/>
  <c r="D25"/>
  <c r="D20"/>
  <c r="D8"/>
  <c r="D45" l="1"/>
  <c r="D29"/>
  <c r="D42" l="1"/>
  <c r="D34" i="26"/>
  <c r="C34"/>
  <c r="E87" i="27" l="1"/>
  <c r="E61" l="1"/>
  <c r="E60"/>
  <c r="E58"/>
  <c r="E62" i="26"/>
  <c r="E61"/>
  <c r="E59"/>
  <c r="E22" i="27" l="1"/>
  <c r="E20"/>
  <c r="E23" i="26"/>
  <c r="E22"/>
  <c r="E21"/>
  <c r="D6"/>
  <c r="C6"/>
  <c r="E88" i="27"/>
  <c r="D86"/>
  <c r="C86"/>
  <c r="E85"/>
  <c r="E84"/>
  <c r="D83"/>
  <c r="C83"/>
  <c r="E82"/>
  <c r="E81"/>
  <c r="E80"/>
  <c r="E79"/>
  <c r="D78"/>
  <c r="C78"/>
  <c r="E77"/>
  <c r="E76"/>
  <c r="E75"/>
  <c r="E74"/>
  <c r="E73"/>
  <c r="E72"/>
  <c r="E71"/>
  <c r="D70"/>
  <c r="C70"/>
  <c r="E68"/>
  <c r="E67"/>
  <c r="E66"/>
  <c r="E65"/>
  <c r="E64"/>
  <c r="E63"/>
  <c r="D62"/>
  <c r="C62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E33"/>
  <c r="E32"/>
  <c r="E31"/>
  <c r="E30"/>
  <c r="E29"/>
  <c r="E28"/>
  <c r="E27"/>
  <c r="E26"/>
  <c r="E25"/>
  <c r="E21"/>
  <c r="E19"/>
  <c r="E18"/>
  <c r="E17"/>
  <c r="E16"/>
  <c r="E15"/>
  <c r="E14"/>
  <c r="E13"/>
  <c r="E12"/>
  <c r="E11"/>
  <c r="E10"/>
  <c r="E9"/>
  <c r="E8"/>
  <c r="D7"/>
  <c r="C7"/>
  <c r="E6"/>
  <c r="E68" i="26"/>
  <c r="E67"/>
  <c r="E66"/>
  <c r="E65"/>
  <c r="E64"/>
  <c r="E63"/>
  <c r="E60"/>
  <c r="E58"/>
  <c r="E57"/>
  <c r="E56"/>
  <c r="E55"/>
  <c r="E54"/>
  <c r="E53"/>
  <c r="E52"/>
  <c r="E51"/>
  <c r="E50"/>
  <c r="E49"/>
  <c r="E48"/>
  <c r="E47"/>
  <c r="E46"/>
  <c r="E45"/>
  <c r="E44"/>
  <c r="E42"/>
  <c r="E41"/>
  <c r="E40"/>
  <c r="E39"/>
  <c r="E38"/>
  <c r="E37"/>
  <c r="E36"/>
  <c r="E35"/>
  <c r="E33"/>
  <c r="E32"/>
  <c r="E31"/>
  <c r="E30"/>
  <c r="E29"/>
  <c r="E28"/>
  <c r="E27"/>
  <c r="E26"/>
  <c r="E25"/>
  <c r="C24"/>
  <c r="E20"/>
  <c r="E19"/>
  <c r="E17"/>
  <c r="E16"/>
  <c r="E15"/>
  <c r="E14"/>
  <c r="E13"/>
  <c r="E12"/>
  <c r="E11"/>
  <c r="E10"/>
  <c r="E9"/>
  <c r="E8"/>
  <c r="E7"/>
  <c r="C24" i="27" l="1"/>
  <c r="E24" s="1"/>
  <c r="E83"/>
  <c r="C69"/>
  <c r="E18" i="26"/>
  <c r="D69" i="27"/>
  <c r="D23" s="1"/>
  <c r="D89" s="1"/>
  <c r="E24" i="26"/>
  <c r="E86" i="27"/>
  <c r="E78"/>
  <c r="E34"/>
  <c r="E62"/>
  <c r="E70"/>
  <c r="C69" i="26"/>
  <c r="E34"/>
  <c r="D69"/>
  <c r="E6"/>
  <c r="E7" i="27"/>
  <c r="C23" l="1"/>
  <c r="C89" s="1"/>
  <c r="E89" s="1"/>
  <c r="E69" i="26"/>
  <c r="E69" i="27"/>
  <c r="E23" l="1"/>
</calcChain>
</file>

<file path=xl/sharedStrings.xml><?xml version="1.0" encoding="utf-8"?>
<sst xmlns="http://schemas.openxmlformats.org/spreadsheetml/2006/main" count="195" uniqueCount="128">
  <si>
    <t>հ/հ</t>
  </si>
  <si>
    <t>Կ.Տ</t>
  </si>
  <si>
    <t>ՏՆՕՐԵՆ՝</t>
  </si>
  <si>
    <t>ԳԼԽԱՎՈՐ ՀԱՇՎԱՊԱՀ՝</t>
  </si>
  <si>
    <t>շահութահարկի գծով</t>
  </si>
  <si>
    <t>ԱԱՀ-ի գծով</t>
  </si>
  <si>
    <t>հազ.դրամ</t>
  </si>
  <si>
    <t>Հոդվածի անվանումը</t>
  </si>
  <si>
    <t>Տարբերություն ավելացում (+) նվազեցում (-)</t>
  </si>
  <si>
    <t>I</t>
  </si>
  <si>
    <t>ԵԿԱՄՈՒՏՆԵՐ՝ այդ թվում,</t>
  </si>
  <si>
    <t xml:space="preserve">Վճարովի ծառայություններից </t>
  </si>
  <si>
    <t>Վարձակալությունից</t>
  </si>
  <si>
    <t>Սպասարկման և կոմունալ համավճարներից</t>
  </si>
  <si>
    <t>Ֆինանսական օգնությունից</t>
  </si>
  <si>
    <t>Չփոխանակվող գործարքներից (դրամաշնորհից)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</si>
  <si>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</si>
  <si>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</si>
  <si>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</si>
  <si>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</si>
  <si>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</si>
  <si>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Սննդի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</si>
  <si>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</si>
  <si>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</si>
  <si>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</si>
  <si>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</si>
  <si>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</si>
  <si>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</si>
  <si>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</si>
  <si>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</si>
  <si>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</si>
  <si>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</si>
  <si>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Տնտեսական ապրանքների գծով</t>
  </si>
  <si>
    <t>Գրասենյակային ապրանքների գծով</t>
  </si>
  <si>
    <t>Փոքրարժեք կամ արագամաշ առարկաների գծով</t>
  </si>
  <si>
    <t>Ուսումնական նյութերի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</si>
  <si>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</si>
  <si>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</si>
  <si>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</si>
  <si>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</si>
  <si>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</si>
  <si>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Համակարգիչների տեխնիկական սպասարկման գծով</t>
  </si>
  <si>
    <t>Համակարգչային ծրագրի և կայքի սպասարկման գծով</t>
  </si>
  <si>
    <t>էլ․ստորագրության գծով</t>
  </si>
  <si>
    <t>Բաժանորդագրության գծով</t>
  </si>
  <si>
    <t>Վերապատրաստման գծով</t>
  </si>
  <si>
    <t>Գույքագրման և վերագնահատման գծով</t>
  </si>
  <si>
    <t>Հիմնական միջոցների մաշվածության գծով, որից՝</t>
  </si>
  <si>
    <t xml:space="preserve">Չփոխհատուցվող հարկերի գծով </t>
  </si>
  <si>
    <t>Պարտադիր վճարների գծով</t>
  </si>
  <si>
    <t>Շահութահարկի գծով</t>
  </si>
  <si>
    <t>Այլ ծախսերի գծով</t>
  </si>
  <si>
    <t>III</t>
  </si>
  <si>
    <t>ՀԱՎԵԼՈՒՐԴ (ՊԱԿԱՍՈՒՐԴ)</t>
  </si>
  <si>
    <t>/ անուն, ազգանուն/</t>
  </si>
  <si>
    <t>Դրամական միջոցների ազատ մնացորդը հաշվետու ժամանակաշրջանի սկզբին</t>
  </si>
  <si>
    <t>Դեբիտորական պարտքերից</t>
  </si>
  <si>
    <t>ա)</t>
  </si>
  <si>
    <t>Հարկային պարտավորությունների գծով, այդ թվում՝</t>
  </si>
  <si>
    <t xml:space="preserve">չփոխհատուցվող հարկերի գծով </t>
  </si>
  <si>
    <t>Կրեդիտորական պարտքի մարման գծով</t>
  </si>
  <si>
    <t>Այլ արտահոսքերի գծով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</si>
  <si>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</si>
  <si>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</si>
  <si>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</si>
  <si>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</si>
  <si>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</si>
  <si>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</si>
  <si>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նախագծանախահաշվային փաստաթղթերի գծով</t>
  </si>
  <si>
    <t>կուտակված հավելուրդի մնացորդի օգտագործում, այդ թվում՝</t>
  </si>
  <si>
    <t>IV</t>
  </si>
  <si>
    <t>Դրամական միջոցների ազատ մնացորդը հաշվետու ժամանակաշրջանի վերջին</t>
  </si>
  <si>
    <t xml:space="preserve">                 </t>
  </si>
  <si>
    <t xml:space="preserve">* Հաշվետու ժամանակաշրջանի համար ցուցանիշները լրացվում են աճողական </t>
  </si>
  <si>
    <t xml:space="preserve"> Եկամուտների ու ծախսերի հաստատված նախահաշվի և  փաստացի կատարողականի
 համեմատական ցուցանիշների վերաբերյալ</t>
  </si>
  <si>
    <r>
      <t xml:space="preserve">Հաշվետու ժամանակաշրջանի </t>
    </r>
    <r>
      <rPr>
        <b/>
        <u/>
        <sz val="10"/>
        <rFont val="Sylfaen"/>
        <family val="1"/>
        <charset val="204"/>
      </rPr>
      <t>փաստացի կատարողական*</t>
    </r>
  </si>
  <si>
    <r>
      <t xml:space="preserve">Հաշվետու ժամանակաշրջանի </t>
    </r>
    <r>
      <rPr>
        <b/>
        <u/>
        <sz val="10"/>
        <rFont val="Sylfaen"/>
        <family val="1"/>
        <charset val="204"/>
      </rPr>
      <t>հաստատված նախահաշիվ*</t>
    </r>
  </si>
  <si>
    <t>Դրամական միջոցների հոսքերի հաստատված նախահաշվի և  փաստացի դրամական միջոցների հոսքերի համեմատական ցուցանիշների վերաբերյալ</t>
  </si>
  <si>
    <t xml:space="preserve">Պայմանով ստացված ակտիվների գծով, այդ թվում՝  </t>
  </si>
  <si>
    <t xml:space="preserve">ոչ ընթացիկ </t>
  </si>
  <si>
    <t xml:space="preserve">ընթացիկ </t>
  </si>
  <si>
    <t>նախկին՝ Ակտիվներին վերաբերող շնորհներից</t>
  </si>
  <si>
    <t>նախկին՝ Եկամուտներին վերաբերող շնորհներից</t>
  </si>
  <si>
    <t xml:space="preserve">  Տ Ե Ղ Ե Կ Ա Ն Ք</t>
  </si>
  <si>
    <t>Սուբսիդիայից, որից՝</t>
  </si>
  <si>
    <t>ներառական կրթության գծով</t>
  </si>
  <si>
    <t>նախադպրոցական ուսուցումից</t>
  </si>
  <si>
    <t>դասագրքերի վարձավճարի փոխհատուցումից</t>
  </si>
  <si>
    <t>Ուսումնական պրակտիկայից</t>
  </si>
  <si>
    <t>Ֆինանսական օգնությունից (օգնիր դպրոցիդ)</t>
  </si>
  <si>
    <t>ներառական կրթության հաստիքների գծով</t>
  </si>
  <si>
    <t>նախադպրոցական ուսուցման գծով</t>
  </si>
  <si>
    <t>Պահակային պահպանության գծով</t>
  </si>
  <si>
    <t>Տրանսպորտի գծով</t>
  </si>
  <si>
    <t>Հայտարարությունների գծով</t>
  </si>
  <si>
    <t>Դասագրքերի վարձավճարի փոխհատուցման գծով</t>
  </si>
  <si>
    <t xml:space="preserve"> Տ Ե Ղ Ե Կ Ա Ն Ք</t>
  </si>
  <si>
    <t xml:space="preserve"> հազ. դրամ</t>
  </si>
  <si>
    <t>Ընդամենը դրամական միջոցների ներհոսքեր, այդ թվում՝</t>
  </si>
  <si>
    <t>Ընդամենը դրամական միջոցների արտահոսքեր, այդ թվում՝</t>
  </si>
  <si>
    <t xml:space="preserve">ընթացիկ, այդ թվում՝ </t>
  </si>
  <si>
    <t xml:space="preserve">բ) </t>
  </si>
  <si>
    <t>կապիտալ, այդ թվում՝</t>
  </si>
  <si>
    <t>Հիմնական միջոցների ձեռքում, այդ թվում՝</t>
  </si>
  <si>
    <t>աշակերտական գույք</t>
  </si>
  <si>
    <t>ամրացված գույքի (շենք)</t>
  </si>
  <si>
    <t>հիմնական միջոցի</t>
  </si>
  <si>
    <t>Հաշվապահական հաշվառման համակարգչային ծրագրի ձեռքբերում</t>
  </si>
  <si>
    <t xml:space="preserve">գ) </t>
  </si>
  <si>
    <t xml:space="preserve">դ) </t>
  </si>
  <si>
    <t>սպառման ֆոնդի օգտագործում, այդ թվում՝</t>
  </si>
  <si>
    <t>պայմանով (անհատույց) ստացված</t>
  </si>
  <si>
    <t>նոր տողեր ավելացնել 11 և 12 տողերի միջև</t>
  </si>
  <si>
    <t>նոր տողեր ավելացնել 1.6 և 1.7 տողերի միջև</t>
  </si>
  <si>
    <t>նոր տողեր ավելացնել 1 և 2 տողերի միջև</t>
  </si>
  <si>
    <t>Կադաստրային ծառայության գծով</t>
  </si>
  <si>
    <t>նոր տողեր ավելացնել 30 և 31 տողերի միջև</t>
  </si>
  <si>
    <t>Լ. Պետրոսյան</t>
  </si>
  <si>
    <t>Կ. Աբրահամյան</t>
  </si>
  <si>
    <t xml:space="preserve">«Երևանի Գայի(Հայկ Բժշկյանց)անվան թիվ 129 հիմնական դպրոց» ՊՈԱԿ-ի </t>
  </si>
  <si>
    <t xml:space="preserve">Ակտիվների մուտքագրումից և օտարումից </t>
  </si>
  <si>
    <t>Կրակմարիչների լիցքավորման ծառայություն</t>
  </si>
  <si>
    <t>Երկրորդական հումքի օտարումից</t>
  </si>
  <si>
    <t>Այլ եկամուտներից</t>
  </si>
  <si>
    <t>Տպագրական շառայությունների գծով</t>
  </si>
  <si>
    <t>Տպագրական ծառայությունների գծով</t>
  </si>
  <si>
    <t>Փոքրարժեք կամ արագամաշ առարկաների գծով. Որից</t>
  </si>
  <si>
    <t>անհատույց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</si>
</sst>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5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MS Sans Serif"/>
      <family val="2"/>
    </font>
    <font>
      <sz val="9"/>
      <name val="Sylfaen"/>
      <family val="1"/>
      <charset val="204"/>
    </font>
    <font>
      <b/>
      <u/>
      <sz val="10"/>
      <name val="Sylfaen"/>
      <family val="1"/>
      <charset val="204"/>
    </font>
    <font>
      <sz val="10"/>
      <name val="Arial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7" borderId="5" applyNumberFormat="0" applyAlignment="0" applyProtection="0"/>
    <xf numFmtId="0" fontId="8" fillId="20" borderId="6" applyNumberFormat="0" applyAlignment="0" applyProtection="0"/>
    <xf numFmtId="0" fontId="9" fillId="20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12" applyNumberFormat="0" applyFont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3" fillId="0" borderId="0"/>
    <xf numFmtId="0" fontId="34" fillId="0" borderId="0"/>
  </cellStyleXfs>
  <cellXfs count="104">
    <xf numFmtId="0" fontId="0" fillId="0" borderId="0" xfId="0"/>
    <xf numFmtId="0" fontId="22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  <protection locked="0"/>
    </xf>
    <xf numFmtId="0" fontId="23" fillId="0" borderId="2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vertical="center"/>
      <protection hidden="1"/>
    </xf>
    <xf numFmtId="0" fontId="24" fillId="0" borderId="0" xfId="1" applyFont="1" applyAlignment="1" applyProtection="1">
      <alignment vertical="center"/>
      <protection hidden="1"/>
    </xf>
    <xf numFmtId="0" fontId="1" fillId="0" borderId="0" xfId="1" applyFont="1" applyAlignment="1" applyProtection="1">
      <alignment vertical="center" wrapText="1"/>
      <protection locked="0"/>
    </xf>
    <xf numFmtId="0" fontId="1" fillId="0" borderId="0" xfId="1" applyFont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right" vertical="center"/>
      <protection hidden="1"/>
    </xf>
    <xf numFmtId="0" fontId="24" fillId="0" borderId="4" xfId="44" applyFont="1" applyBorder="1" applyAlignment="1" applyProtection="1">
      <alignment vertical="center"/>
      <protection hidden="1"/>
    </xf>
    <xf numFmtId="0" fontId="24" fillId="0" borderId="4" xfId="1" applyFont="1" applyBorder="1" applyAlignment="1" applyProtection="1">
      <alignment horizontal="center" vertical="center" wrapText="1"/>
      <protection hidden="1"/>
    </xf>
    <xf numFmtId="0" fontId="27" fillId="0" borderId="4" xfId="1" applyNumberFormat="1" applyFont="1" applyBorder="1" applyAlignment="1" applyProtection="1">
      <alignment horizontal="center" vertical="center" wrapText="1"/>
      <protection hidden="1"/>
    </xf>
    <xf numFmtId="0" fontId="23" fillId="0" borderId="2" xfId="1" applyFont="1" applyBorder="1" applyAlignment="1" applyProtection="1">
      <alignment horizontal="center" vertical="center"/>
      <protection hidden="1"/>
    </xf>
    <xf numFmtId="0" fontId="23" fillId="0" borderId="2" xfId="1" applyFont="1" applyBorder="1" applyAlignment="1" applyProtection="1">
      <alignment horizontal="center" vertical="center" wrapText="1"/>
      <protection hidden="1"/>
    </xf>
    <xf numFmtId="164" fontId="23" fillId="0" borderId="2" xfId="1" applyNumberFormat="1" applyFont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vertical="center"/>
      <protection hidden="1"/>
    </xf>
    <xf numFmtId="164" fontId="1" fillId="0" borderId="2" xfId="1" applyNumberFormat="1" applyFont="1" applyBorder="1" applyAlignment="1" applyProtection="1">
      <alignment horizontal="center" vertical="center"/>
      <protection locked="0"/>
    </xf>
    <xf numFmtId="164" fontId="1" fillId="0" borderId="2" xfId="1" applyNumberFormat="1" applyFont="1" applyBorder="1" applyAlignment="1" applyProtection="1">
      <alignment horizontal="center" vertical="center"/>
      <protection hidden="1"/>
    </xf>
    <xf numFmtId="0" fontId="1" fillId="0" borderId="2" xfId="1" applyFont="1" applyBorder="1" applyAlignment="1" applyProtection="1">
      <alignment vertical="center"/>
      <protection locked="0"/>
    </xf>
    <xf numFmtId="164" fontId="23" fillId="0" borderId="2" xfId="1" applyNumberFormat="1" applyFont="1" applyBorder="1" applyAlignment="1" applyProtection="1">
      <alignment horizontal="center" vertical="center" wrapText="1"/>
      <protection hidden="1"/>
    </xf>
    <xf numFmtId="0" fontId="26" fillId="0" borderId="2" xfId="1" applyFont="1" applyBorder="1" applyAlignment="1" applyProtection="1">
      <alignment horizontal="center" vertical="center"/>
      <protection locked="0"/>
    </xf>
    <xf numFmtId="164" fontId="26" fillId="0" borderId="2" xfId="1" applyNumberFormat="1" applyFont="1" applyBorder="1" applyAlignment="1" applyProtection="1">
      <alignment horizontal="center" vertical="center" wrapText="1"/>
      <protection locked="0"/>
    </xf>
    <xf numFmtId="164" fontId="26" fillId="0" borderId="2" xfId="1" applyNumberFormat="1" applyFont="1" applyBorder="1" applyAlignment="1" applyProtection="1">
      <alignment horizontal="center" vertical="center"/>
      <protection locked="0"/>
    </xf>
    <xf numFmtId="164" fontId="26" fillId="0" borderId="2" xfId="1" applyNumberFormat="1" applyFont="1" applyBorder="1" applyAlignment="1" applyProtection="1">
      <alignment horizontal="center" vertical="center"/>
      <protection hidden="1"/>
    </xf>
    <xf numFmtId="0" fontId="26" fillId="0" borderId="0" xfId="1" applyFont="1" applyBorder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hidden="1"/>
    </xf>
    <xf numFmtId="164" fontId="1" fillId="0" borderId="2" xfId="1" applyNumberFormat="1" applyFont="1" applyBorder="1" applyAlignment="1" applyProtection="1">
      <alignment horizontal="center" vertical="center" wrapText="1"/>
      <protection hidden="1"/>
    </xf>
    <xf numFmtId="0" fontId="28" fillId="0" borderId="2" xfId="1" applyFont="1" applyBorder="1" applyAlignment="1" applyProtection="1">
      <alignment horizontal="left" vertical="center" wrapText="1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vertical="center" wrapText="1"/>
      <protection hidden="1"/>
    </xf>
    <xf numFmtId="0" fontId="23" fillId="0" borderId="2" xfId="1" applyFont="1" applyBorder="1" applyAlignment="1" applyProtection="1">
      <alignment vertical="center"/>
      <protection hidden="1"/>
    </xf>
    <xf numFmtId="0" fontId="23" fillId="0" borderId="0" xfId="1" applyFont="1" applyBorder="1" applyAlignment="1" applyProtection="1">
      <alignment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27" fillId="0" borderId="0" xfId="1" applyFont="1" applyBorder="1" applyAlignment="1" applyProtection="1">
      <alignment horizontal="center" vertical="center"/>
      <protection hidden="1"/>
    </xf>
    <xf numFmtId="0" fontId="24" fillId="0" borderId="0" xfId="44" applyFont="1" applyAlignment="1" applyProtection="1">
      <alignment vertical="center"/>
      <protection hidden="1"/>
    </xf>
    <xf numFmtId="0" fontId="1" fillId="0" borderId="0" xfId="44" applyFont="1" applyBorder="1" applyAlignment="1" applyProtection="1">
      <alignment horizontal="right" vertical="center"/>
      <protection hidden="1"/>
    </xf>
    <xf numFmtId="0" fontId="22" fillId="0" borderId="2" xfId="44" applyNumberFormat="1" applyFont="1" applyBorder="1" applyAlignment="1" applyProtection="1">
      <alignment horizontal="center" vertical="center"/>
      <protection hidden="1"/>
    </xf>
    <xf numFmtId="165" fontId="22" fillId="0" borderId="2" xfId="44" applyNumberFormat="1" applyFont="1" applyBorder="1" applyAlignment="1" applyProtection="1">
      <alignment horizontal="left" vertical="center" wrapText="1"/>
      <protection hidden="1"/>
    </xf>
    <xf numFmtId="164" fontId="22" fillId="0" borderId="2" xfId="44" applyNumberFormat="1" applyFont="1" applyBorder="1" applyAlignment="1" applyProtection="1">
      <alignment horizontal="center" vertical="center"/>
      <protection locked="0"/>
    </xf>
    <xf numFmtId="164" fontId="22" fillId="0" borderId="2" xfId="44" applyNumberFormat="1" applyFont="1" applyBorder="1" applyAlignment="1" applyProtection="1">
      <alignment horizontal="center" vertical="center"/>
      <protection hidden="1"/>
    </xf>
    <xf numFmtId="164" fontId="1" fillId="0" borderId="2" xfId="44" applyNumberFormat="1" applyFont="1" applyBorder="1" applyAlignment="1" applyProtection="1">
      <alignment horizontal="center" vertical="center"/>
      <protection locked="0"/>
    </xf>
    <xf numFmtId="164" fontId="1" fillId="0" borderId="2" xfId="44" applyNumberFormat="1" applyFont="1" applyBorder="1" applyAlignment="1" applyProtection="1">
      <alignment horizontal="center" vertical="center"/>
      <protection hidden="1"/>
    </xf>
    <xf numFmtId="164" fontId="26" fillId="0" borderId="2" xfId="44" applyNumberFormat="1" applyFont="1" applyBorder="1" applyAlignment="1" applyProtection="1">
      <alignment horizontal="center" vertical="center"/>
      <protection locked="0"/>
    </xf>
    <xf numFmtId="2" fontId="24" fillId="0" borderId="0" xfId="1" applyNumberFormat="1" applyFont="1" applyAlignment="1" applyProtection="1">
      <alignment vertical="center"/>
      <protection locked="0"/>
    </xf>
    <xf numFmtId="164" fontId="26" fillId="0" borderId="2" xfId="44" applyNumberFormat="1" applyFont="1" applyBorder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vertical="center"/>
      <protection hidden="1"/>
    </xf>
    <xf numFmtId="0" fontId="28" fillId="0" borderId="2" xfId="1" applyFont="1" applyBorder="1" applyAlignment="1" applyProtection="1">
      <alignment horizontal="left" vertical="center" wrapText="1"/>
      <protection hidden="1"/>
    </xf>
    <xf numFmtId="0" fontId="26" fillId="0" borderId="2" xfId="44" applyNumberFormat="1" applyFont="1" applyBorder="1" applyAlignment="1" applyProtection="1">
      <alignment horizontal="center" vertical="center"/>
      <protection locked="0"/>
    </xf>
    <xf numFmtId="0" fontId="29" fillId="0" borderId="2" xfId="1" applyFont="1" applyBorder="1" applyAlignment="1" applyProtection="1">
      <alignment horizontal="left" vertical="center"/>
      <protection hidden="1"/>
    </xf>
    <xf numFmtId="0" fontId="1" fillId="0" borderId="2" xfId="44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left" vertical="center"/>
    </xf>
    <xf numFmtId="165" fontId="1" fillId="0" borderId="2" xfId="44" applyNumberFormat="1" applyFont="1" applyBorder="1" applyAlignment="1" applyProtection="1">
      <alignment horizontal="left" vertical="center" wrapText="1"/>
      <protection hidden="1"/>
    </xf>
    <xf numFmtId="165" fontId="26" fillId="0" borderId="2" xfId="44" applyNumberFormat="1" applyFont="1" applyBorder="1" applyAlignment="1" applyProtection="1">
      <alignment horizontal="left" vertical="center" wrapText="1"/>
    </xf>
    <xf numFmtId="165" fontId="26" fillId="0" borderId="2" xfId="44" applyNumberFormat="1" applyFont="1" applyBorder="1" applyAlignment="1" applyProtection="1">
      <alignment horizontal="left" vertical="center" wrapText="1"/>
      <protection locked="0"/>
    </xf>
    <xf numFmtId="165" fontId="26" fillId="0" borderId="2" xfId="44" applyNumberFormat="1" applyFont="1" applyBorder="1" applyAlignment="1" applyProtection="1">
      <alignment horizontal="left" vertical="center" wrapText="1"/>
      <protection hidden="1"/>
    </xf>
    <xf numFmtId="165" fontId="1" fillId="0" borderId="2" xfId="44" applyNumberFormat="1" applyFont="1" applyBorder="1" applyAlignment="1" applyProtection="1">
      <alignment horizontal="left" vertical="center" wrapText="1"/>
    </xf>
    <xf numFmtId="0" fontId="23" fillId="0" borderId="0" xfId="1" applyFont="1" applyProtection="1">
      <protection locked="0"/>
    </xf>
    <xf numFmtId="0" fontId="23" fillId="0" borderId="0" xfId="1" applyFont="1" applyProtection="1">
      <protection hidden="1"/>
    </xf>
    <xf numFmtId="0" fontId="22" fillId="0" borderId="0" xfId="44" applyNumberFormat="1" applyFont="1" applyBorder="1" applyAlignment="1" applyProtection="1">
      <alignment horizontal="center" vertical="center"/>
      <protection hidden="1"/>
    </xf>
    <xf numFmtId="165" fontId="22" fillId="0" borderId="0" xfId="44" applyNumberFormat="1" applyFont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vertical="center"/>
    </xf>
    <xf numFmtId="0" fontId="3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vertical="center"/>
    </xf>
    <xf numFmtId="164" fontId="1" fillId="0" borderId="2" xfId="1" applyNumberFormat="1" applyFont="1" applyBorder="1" applyAlignment="1" applyProtection="1">
      <alignment horizontal="center" vertical="center" wrapText="1"/>
    </xf>
    <xf numFmtId="0" fontId="25" fillId="0" borderId="0" xfId="44" applyFont="1" applyAlignment="1" applyProtection="1">
      <alignment vertical="center"/>
      <protection locked="0"/>
    </xf>
    <xf numFmtId="0" fontId="26" fillId="0" borderId="2" xfId="1" applyFont="1" applyBorder="1" applyAlignment="1" applyProtection="1">
      <alignment horizontal="left" vertical="center"/>
    </xf>
    <xf numFmtId="0" fontId="26" fillId="0" borderId="2" xfId="1" applyFont="1" applyBorder="1" applyAlignment="1" applyProtection="1">
      <alignment vertical="center"/>
    </xf>
    <xf numFmtId="164" fontId="27" fillId="0" borderId="2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vertical="center" wrapText="1"/>
    </xf>
    <xf numFmtId="0" fontId="26" fillId="0" borderId="0" xfId="1" applyFont="1" applyAlignment="1" applyProtection="1">
      <alignment horizontal="right" vertical="center"/>
      <protection hidden="1"/>
    </xf>
    <xf numFmtId="0" fontId="22" fillId="0" borderId="2" xfId="44" applyNumberFormat="1" applyFont="1" applyBorder="1" applyAlignment="1" applyProtection="1">
      <alignment horizontal="right" vertical="center"/>
      <protection hidden="1"/>
    </xf>
    <xf numFmtId="0" fontId="28" fillId="0" borderId="2" xfId="1" applyFont="1" applyBorder="1" applyAlignment="1" applyProtection="1">
      <alignment horizontal="left" vertical="center"/>
      <protection hidden="1"/>
    </xf>
    <xf numFmtId="0" fontId="22" fillId="0" borderId="2" xfId="44" applyNumberFormat="1" applyFont="1" applyBorder="1" applyAlignment="1" applyProtection="1">
      <alignment horizontal="right" vertical="center"/>
      <protection locked="0"/>
    </xf>
    <xf numFmtId="165" fontId="26" fillId="24" borderId="2" xfId="44" applyNumberFormat="1" applyFont="1" applyFill="1" applyBorder="1" applyAlignment="1" applyProtection="1">
      <alignment horizontal="left" vertical="center" wrapText="1"/>
      <protection hidden="1"/>
    </xf>
    <xf numFmtId="165" fontId="1" fillId="0" borderId="2" xfId="44" applyNumberFormat="1" applyFont="1" applyBorder="1" applyAlignment="1" applyProtection="1">
      <alignment horizontal="left" vertical="center" wrapText="1"/>
      <protection locked="0"/>
    </xf>
    <xf numFmtId="165" fontId="22" fillId="0" borderId="0" xfId="44" applyNumberFormat="1" applyFont="1" applyFill="1" applyBorder="1" applyAlignment="1" applyProtection="1">
      <alignment vertical="center" wrapText="1"/>
      <protection hidden="1"/>
    </xf>
    <xf numFmtId="1" fontId="1" fillId="0" borderId="2" xfId="1" applyNumberFormat="1" applyFont="1" applyBorder="1" applyAlignment="1" applyProtection="1">
      <alignment horizontal="center" vertical="center"/>
      <protection locked="0"/>
    </xf>
    <xf numFmtId="164" fontId="1" fillId="0" borderId="2" xfId="1" applyNumberFormat="1" applyFont="1" applyBorder="1" applyAlignment="1" applyProtection="1">
      <alignment horizontal="center" vertical="center"/>
    </xf>
    <xf numFmtId="164" fontId="1" fillId="0" borderId="2" xfId="44" applyNumberFormat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hidden="1"/>
    </xf>
    <xf numFmtId="0" fontId="23" fillId="0" borderId="0" xfId="1" applyFont="1" applyBorder="1" applyAlignment="1" applyProtection="1">
      <alignment vertical="center"/>
      <protection hidden="1"/>
    </xf>
    <xf numFmtId="164" fontId="23" fillId="0" borderId="0" xfId="1" applyNumberFormat="1" applyFont="1" applyBorder="1" applyAlignment="1" applyProtection="1">
      <alignment horizontal="center" vertical="center"/>
      <protection hidden="1"/>
    </xf>
    <xf numFmtId="164" fontId="1" fillId="0" borderId="0" xfId="1" applyNumberFormat="1" applyFont="1" applyBorder="1" applyAlignment="1" applyProtection="1">
      <alignment vertical="center"/>
      <protection locked="0"/>
    </xf>
    <xf numFmtId="164" fontId="1" fillId="24" borderId="2" xfId="44" applyNumberFormat="1" applyFont="1" applyFill="1" applyBorder="1" applyAlignment="1" applyProtection="1">
      <alignment horizontal="center" vertical="center"/>
      <protection hidden="1"/>
    </xf>
    <xf numFmtId="164" fontId="1" fillId="24" borderId="2" xfId="44" applyNumberFormat="1" applyFont="1" applyFill="1" applyBorder="1" applyAlignment="1" applyProtection="1">
      <alignment horizontal="center" vertical="center"/>
      <protection locked="0"/>
    </xf>
    <xf numFmtId="164" fontId="24" fillId="0" borderId="0" xfId="1" applyNumberFormat="1" applyFont="1" applyAlignment="1" applyProtection="1">
      <alignment vertical="center"/>
      <protection locked="0"/>
    </xf>
    <xf numFmtId="0" fontId="27" fillId="0" borderId="3" xfId="1" applyFont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0" fontId="25" fillId="0" borderId="0" xfId="44" applyFont="1" applyAlignment="1" applyProtection="1">
      <alignment horizontal="center" vertical="center"/>
      <protection locked="0"/>
    </xf>
    <xf numFmtId="0" fontId="22" fillId="0" borderId="0" xfId="1" applyNumberFormat="1" applyFont="1" applyAlignment="1" applyProtection="1">
      <alignment horizontal="center" vertical="center" wrapText="1"/>
      <protection locked="0" hidden="1"/>
    </xf>
    <xf numFmtId="0" fontId="22" fillId="0" borderId="1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horizontal="center" vertical="center"/>
      <protection hidden="1"/>
    </xf>
    <xf numFmtId="0" fontId="22" fillId="0" borderId="0" xfId="1" applyNumberFormat="1" applyFont="1" applyAlignment="1" applyProtection="1">
      <alignment horizontal="center" vertical="center" wrapText="1"/>
      <protection hidden="1"/>
    </xf>
  </cellXfs>
  <cellStyles count="51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Normal" xfId="0" builtinId="0"/>
    <cellStyle name="Normal 2" xfId="1"/>
    <cellStyle name="Normal 2 2" xfId="45"/>
    <cellStyle name="Normal 3" xfId="46"/>
    <cellStyle name="Normal 4" xfId="49"/>
    <cellStyle name="Normal_Sheet1" xfId="44"/>
    <cellStyle name="Style 1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47"/>
    <cellStyle name="Обычный 4" xfId="50"/>
    <cellStyle name="Плохой" xfId="38"/>
    <cellStyle name="Пояснение" xfId="39"/>
    <cellStyle name="Примечание" xfId="40"/>
    <cellStyle name="Связанная ячейка" xfId="41"/>
    <cellStyle name="Стиль 1" xfId="48"/>
    <cellStyle name="Текст предупреждения" xfId="42"/>
    <cellStyle name="Хороший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topLeftCell="A39" zoomScaleSheetLayoutView="100" workbookViewId="0">
      <selection activeCell="D68" sqref="D68"/>
    </sheetView>
  </sheetViews>
  <sheetFormatPr defaultRowHeight="13.5"/>
  <cols>
    <col min="1" max="1" width="3.85546875" style="11" customWidth="1"/>
    <col min="2" max="2" width="48.5703125" style="8" customWidth="1"/>
    <col min="3" max="3" width="19.42578125" style="8" customWidth="1"/>
    <col min="4" max="4" width="18.5703125" style="8" customWidth="1"/>
    <col min="5" max="5" width="12.7109375" style="8" customWidth="1"/>
    <col min="6" max="6" width="13.140625" style="4" customWidth="1"/>
    <col min="7" max="13" width="9.140625" style="4"/>
    <col min="14" max="16384" width="9.140625" style="8"/>
  </cols>
  <sheetData>
    <row r="1" spans="1:14" ht="16.5" customHeight="1">
      <c r="A1" s="98" t="s">
        <v>83</v>
      </c>
      <c r="B1" s="98"/>
      <c r="C1" s="98"/>
      <c r="D1" s="98"/>
      <c r="E1" s="98"/>
    </row>
    <row r="2" spans="1:14" s="9" customFormat="1" ht="25.5" customHeight="1">
      <c r="A2" s="99" t="s">
        <v>119</v>
      </c>
      <c r="B2" s="99"/>
      <c r="C2" s="99"/>
      <c r="D2" s="99"/>
      <c r="E2" s="99"/>
      <c r="F2" s="75"/>
      <c r="G2" s="75"/>
      <c r="H2" s="2"/>
      <c r="I2" s="2"/>
      <c r="J2" s="2"/>
      <c r="K2" s="2"/>
      <c r="L2" s="2"/>
      <c r="M2" s="2"/>
    </row>
    <row r="3" spans="1:14" ht="57" customHeight="1">
      <c r="A3" s="100" t="s">
        <v>74</v>
      </c>
      <c r="B3" s="100"/>
      <c r="C3" s="100"/>
      <c r="D3" s="100"/>
      <c r="E3" s="100"/>
      <c r="F3" s="10"/>
      <c r="G3" s="10"/>
      <c r="H3" s="10"/>
    </row>
    <row r="4" spans="1:14">
      <c r="E4" s="12" t="s">
        <v>6</v>
      </c>
    </row>
    <row r="5" spans="1:14" s="9" customFormat="1" ht="64.5" customHeight="1">
      <c r="A5" s="13" t="s">
        <v>0</v>
      </c>
      <c r="B5" s="14" t="s">
        <v>7</v>
      </c>
      <c r="C5" s="72" t="s">
        <v>76</v>
      </c>
      <c r="D5" s="72" t="s">
        <v>75</v>
      </c>
      <c r="E5" s="15" t="s">
        <v>8</v>
      </c>
      <c r="F5" s="2"/>
      <c r="G5" s="2"/>
      <c r="H5" s="2"/>
      <c r="I5" s="2"/>
      <c r="J5" s="2"/>
      <c r="K5" s="2"/>
      <c r="L5" s="2"/>
      <c r="M5" s="2"/>
      <c r="N5" s="2"/>
    </row>
    <row r="6" spans="1:14" ht="31.5" customHeight="1">
      <c r="A6" s="16" t="s">
        <v>9</v>
      </c>
      <c r="B6" s="17" t="s">
        <v>10</v>
      </c>
      <c r="C6" s="18">
        <f>SUM(C7,C11:C18,C21:C23)</f>
        <v>45137.799999999996</v>
      </c>
      <c r="D6" s="18">
        <f>SUM(D7,D11:D18,D21:D23)</f>
        <v>44557.899999999994</v>
      </c>
      <c r="E6" s="18">
        <f t="shared" ref="E6:E69" si="0">D6-C6</f>
        <v>-579.90000000000146</v>
      </c>
      <c r="F6" s="19"/>
    </row>
    <row r="7" spans="1:14" ht="18.75" customHeight="1">
      <c r="A7" s="20">
        <v>1</v>
      </c>
      <c r="B7" s="24" t="s">
        <v>84</v>
      </c>
      <c r="C7" s="51">
        <v>39099.1</v>
      </c>
      <c r="D7" s="22">
        <f>25016.8+14082.3</f>
        <v>39099.1</v>
      </c>
      <c r="E7" s="23">
        <f t="shared" si="0"/>
        <v>0</v>
      </c>
      <c r="F7" s="19"/>
      <c r="G7" s="19"/>
    </row>
    <row r="8" spans="1:14" s="32" customFormat="1" ht="18.75" customHeight="1">
      <c r="A8" s="28">
        <v>1.1000000000000001</v>
      </c>
      <c r="B8" s="76" t="s">
        <v>85</v>
      </c>
      <c r="C8" s="28">
        <v>13228.2</v>
      </c>
      <c r="D8" s="28">
        <v>13228.2</v>
      </c>
      <c r="E8" s="29">
        <f t="shared" si="0"/>
        <v>0</v>
      </c>
      <c r="F8" s="30"/>
      <c r="G8" s="31"/>
      <c r="H8" s="31"/>
      <c r="I8" s="31"/>
      <c r="J8" s="31"/>
      <c r="K8" s="31"/>
      <c r="L8" s="31"/>
      <c r="M8" s="31"/>
    </row>
    <row r="9" spans="1:14" s="32" customFormat="1" ht="18.75" hidden="1" customHeight="1">
      <c r="A9" s="28">
        <v>1.2</v>
      </c>
      <c r="B9" s="76" t="s">
        <v>86</v>
      </c>
      <c r="C9" s="28"/>
      <c r="D9" s="28"/>
      <c r="E9" s="29">
        <f t="shared" si="0"/>
        <v>0</v>
      </c>
      <c r="F9" s="30"/>
      <c r="G9" s="31"/>
      <c r="H9" s="31"/>
      <c r="I9" s="31"/>
      <c r="J9" s="31"/>
      <c r="K9" s="31"/>
      <c r="L9" s="31"/>
      <c r="M9" s="31"/>
    </row>
    <row r="10" spans="1:14" s="32" customFormat="1" ht="18.75" hidden="1" customHeight="1">
      <c r="A10" s="28">
        <v>1.3</v>
      </c>
      <c r="B10" s="76" t="s">
        <v>87</v>
      </c>
      <c r="C10" s="28"/>
      <c r="D10" s="28"/>
      <c r="E10" s="29">
        <f t="shared" si="0"/>
        <v>0</v>
      </c>
      <c r="F10" s="30"/>
      <c r="G10" s="31"/>
      <c r="H10" s="31"/>
      <c r="I10" s="31"/>
      <c r="J10" s="31"/>
      <c r="K10" s="31"/>
      <c r="L10" s="31"/>
      <c r="M10" s="31"/>
    </row>
    <row r="11" spans="1:14" ht="18.75" hidden="1" customHeight="1">
      <c r="A11" s="20">
        <v>2</v>
      </c>
      <c r="B11" s="73" t="s">
        <v>11</v>
      </c>
      <c r="C11" s="22"/>
      <c r="D11" s="22"/>
      <c r="E11" s="23">
        <f t="shared" si="0"/>
        <v>0</v>
      </c>
      <c r="F11" s="19"/>
    </row>
    <row r="12" spans="1:14" ht="18.75" hidden="1" customHeight="1">
      <c r="A12" s="20">
        <v>3</v>
      </c>
      <c r="B12" s="73" t="s">
        <v>88</v>
      </c>
      <c r="C12" s="7"/>
      <c r="D12" s="7"/>
      <c r="E12" s="23">
        <f t="shared" si="0"/>
        <v>0</v>
      </c>
      <c r="F12" s="19"/>
    </row>
    <row r="13" spans="1:14" ht="18.75" customHeight="1">
      <c r="A13" s="20">
        <v>2</v>
      </c>
      <c r="B13" s="61" t="s">
        <v>12</v>
      </c>
      <c r="C13" s="7">
        <v>6026.7</v>
      </c>
      <c r="D13" s="7">
        <f>4024.7+22.8+1330</f>
        <v>5377.5</v>
      </c>
      <c r="E13" s="23">
        <f t="shared" si="0"/>
        <v>-649.19999999999982</v>
      </c>
      <c r="F13" s="19">
        <f>7232/1.2</f>
        <v>6026.666666666667</v>
      </c>
    </row>
    <row r="14" spans="1:14" ht="18.75" customHeight="1">
      <c r="A14" s="20">
        <v>3</v>
      </c>
      <c r="B14" s="73" t="s">
        <v>13</v>
      </c>
      <c r="C14" s="7">
        <v>12</v>
      </c>
      <c r="D14" s="7">
        <f>6+6</f>
        <v>12</v>
      </c>
      <c r="E14" s="23">
        <f t="shared" si="0"/>
        <v>0</v>
      </c>
      <c r="F14" s="19"/>
    </row>
    <row r="15" spans="1:14" ht="18.75" hidden="1" customHeight="1">
      <c r="A15" s="20">
        <v>6</v>
      </c>
      <c r="B15" s="61" t="s">
        <v>89</v>
      </c>
      <c r="C15" s="7"/>
      <c r="D15" s="7"/>
      <c r="E15" s="23">
        <f t="shared" si="0"/>
        <v>0</v>
      </c>
      <c r="F15" s="19"/>
    </row>
    <row r="16" spans="1:14" ht="18.75" hidden="1" customHeight="1">
      <c r="A16" s="20">
        <v>7</v>
      </c>
      <c r="B16" s="61" t="s">
        <v>14</v>
      </c>
      <c r="C16" s="7"/>
      <c r="D16" s="7"/>
      <c r="E16" s="23">
        <f t="shared" si="0"/>
        <v>0</v>
      </c>
      <c r="F16" s="19"/>
    </row>
    <row r="17" spans="1:13" ht="18.75" hidden="1" customHeight="1">
      <c r="A17" s="20">
        <v>8</v>
      </c>
      <c r="B17" s="61" t="s">
        <v>15</v>
      </c>
      <c r="C17" s="7"/>
      <c r="D17" s="7"/>
      <c r="E17" s="23">
        <f t="shared" si="0"/>
        <v>0</v>
      </c>
      <c r="F17" s="19"/>
    </row>
    <row r="18" spans="1:13" ht="18.75" hidden="1" customHeight="1">
      <c r="A18" s="20">
        <v>9</v>
      </c>
      <c r="B18" s="36" t="s">
        <v>78</v>
      </c>
      <c r="C18" s="74"/>
      <c r="D18" s="74"/>
      <c r="E18" s="23">
        <f t="shared" si="0"/>
        <v>0</v>
      </c>
      <c r="F18" s="19"/>
    </row>
    <row r="19" spans="1:13" ht="18.75" hidden="1" customHeight="1">
      <c r="A19" s="22">
        <v>9.1</v>
      </c>
      <c r="B19" s="21" t="s">
        <v>79</v>
      </c>
      <c r="C19" s="7"/>
      <c r="D19" s="7"/>
      <c r="E19" s="23">
        <f t="shared" si="0"/>
        <v>0</v>
      </c>
      <c r="F19" s="19" t="s">
        <v>81</v>
      </c>
    </row>
    <row r="20" spans="1:13" ht="18.75" hidden="1" customHeight="1">
      <c r="A20" s="22">
        <v>9.1999999999999993</v>
      </c>
      <c r="B20" s="21" t="s">
        <v>80</v>
      </c>
      <c r="C20" s="7"/>
      <c r="D20" s="7"/>
      <c r="E20" s="23">
        <f t="shared" si="0"/>
        <v>0</v>
      </c>
      <c r="F20" s="19" t="s">
        <v>82</v>
      </c>
    </row>
    <row r="21" spans="1:13" ht="18.75" customHeight="1">
      <c r="A21" s="20">
        <v>4</v>
      </c>
      <c r="B21" s="61" t="s">
        <v>16</v>
      </c>
      <c r="C21" s="7"/>
      <c r="D21" s="7">
        <f>0.5+0.1</f>
        <v>0.6</v>
      </c>
      <c r="E21" s="23">
        <f t="shared" si="0"/>
        <v>0.6</v>
      </c>
      <c r="F21" s="19"/>
    </row>
    <row r="22" spans="1:13" ht="18.75" hidden="1" customHeight="1">
      <c r="A22" s="87">
        <v>11</v>
      </c>
      <c r="B22" s="35" t="s">
        <v>120</v>
      </c>
      <c r="C22" s="7"/>
      <c r="D22" s="7"/>
      <c r="E22" s="22">
        <f>D22-C22</f>
        <v>0</v>
      </c>
      <c r="F22" s="19"/>
    </row>
    <row r="23" spans="1:13" ht="18.75" customHeight="1">
      <c r="A23" s="20">
        <v>5</v>
      </c>
      <c r="B23" s="35" t="s">
        <v>123</v>
      </c>
      <c r="C23" s="7"/>
      <c r="D23" s="7">
        <f>4.2+3.2+0.8+1.1+22+37.4</f>
        <v>68.7</v>
      </c>
      <c r="E23" s="22">
        <f>D23-C23</f>
        <v>68.7</v>
      </c>
      <c r="F23" s="19" t="s">
        <v>112</v>
      </c>
    </row>
    <row r="24" spans="1:13" ht="29.25" customHeight="1">
      <c r="A24" s="16" t="s">
        <v>17</v>
      </c>
      <c r="B24" s="5" t="s">
        <v>18</v>
      </c>
      <c r="C24" s="25">
        <f>SUM(C25,C29:C34,C38:C63,C65:C68)</f>
        <v>49473.4</v>
      </c>
      <c r="D24" s="25">
        <f>SUM(D25,D29:D34,D38:D42,D44:D63,D65:D68)</f>
        <v>48145.749999999993</v>
      </c>
      <c r="E24" s="18">
        <f t="shared" si="0"/>
        <v>-1327.6500000000087</v>
      </c>
      <c r="F24" s="93"/>
    </row>
    <row r="25" spans="1:13" ht="21" customHeight="1">
      <c r="A25" s="20">
        <v>1</v>
      </c>
      <c r="B25" s="35" t="s">
        <v>19</v>
      </c>
      <c r="C25" s="7">
        <f>53048.4/4*3</f>
        <v>39786.300000000003</v>
      </c>
      <c r="D25" s="22">
        <f>13470.5+12612.9+13610.8-707.3+21.9</f>
        <v>39008.799999999996</v>
      </c>
      <c r="E25" s="23">
        <f t="shared" si="0"/>
        <v>-777.50000000000728</v>
      </c>
      <c r="F25" s="93"/>
    </row>
    <row r="26" spans="1:13" s="32" customFormat="1" ht="21" customHeight="1">
      <c r="A26" s="26">
        <v>1.1000000000000001</v>
      </c>
      <c r="B26" s="76" t="s">
        <v>90</v>
      </c>
      <c r="C26" s="27">
        <v>4812.8</v>
      </c>
      <c r="D26" s="28">
        <v>4812.8</v>
      </c>
      <c r="E26" s="29">
        <f t="shared" si="0"/>
        <v>0</v>
      </c>
      <c r="F26" s="30"/>
      <c r="G26" s="31"/>
      <c r="H26" s="31"/>
      <c r="I26" s="31"/>
      <c r="J26" s="31"/>
      <c r="K26" s="31"/>
      <c r="L26" s="31"/>
      <c r="M26" s="31"/>
    </row>
    <row r="27" spans="1:13" s="32" customFormat="1" ht="21" hidden="1" customHeight="1">
      <c r="A27" s="26">
        <v>1.2</v>
      </c>
      <c r="B27" s="76" t="s">
        <v>91</v>
      </c>
      <c r="C27" s="27"/>
      <c r="D27" s="28"/>
      <c r="E27" s="29">
        <f t="shared" si="0"/>
        <v>0</v>
      </c>
      <c r="F27" s="30"/>
      <c r="G27" s="31"/>
      <c r="H27" s="31"/>
      <c r="I27" s="31"/>
      <c r="J27" s="31"/>
      <c r="K27" s="31"/>
      <c r="L27" s="31"/>
      <c r="M27" s="31"/>
    </row>
    <row r="28" spans="1:13" s="32" customFormat="1" ht="21" hidden="1" customHeight="1">
      <c r="A28" s="26">
        <v>1.3</v>
      </c>
      <c r="B28" s="76" t="s">
        <v>20</v>
      </c>
      <c r="C28" s="27"/>
      <c r="D28" s="28"/>
      <c r="E28" s="29">
        <f t="shared" si="0"/>
        <v>0</v>
      </c>
      <c r="F28" s="30"/>
      <c r="G28" s="31"/>
      <c r="H28" s="31"/>
      <c r="I28" s="31"/>
      <c r="J28" s="31"/>
      <c r="K28" s="31"/>
      <c r="L28" s="31"/>
      <c r="M28" s="31"/>
    </row>
    <row r="29" spans="1:13" ht="21" customHeight="1">
      <c r="A29" s="20">
        <v>2</v>
      </c>
      <c r="B29" s="73" t="s">
        <v>22</v>
      </c>
      <c r="C29" s="7">
        <v>2519.8000000000002</v>
      </c>
      <c r="D29" s="22">
        <v>1731.9</v>
      </c>
      <c r="E29" s="23">
        <f t="shared" si="0"/>
        <v>-787.90000000000009</v>
      </c>
      <c r="F29" s="19"/>
    </row>
    <row r="30" spans="1:13" ht="21" customHeight="1">
      <c r="A30" s="20">
        <v>3</v>
      </c>
      <c r="B30" s="61" t="s">
        <v>23</v>
      </c>
      <c r="C30" s="7">
        <v>931.6</v>
      </c>
      <c r="D30" s="22">
        <f>492.5+133.2+34.8+45.4</f>
        <v>705.9</v>
      </c>
      <c r="E30" s="23">
        <f t="shared" si="0"/>
        <v>-225.70000000000005</v>
      </c>
      <c r="F30" s="19"/>
    </row>
    <row r="31" spans="1:13" ht="21" customHeight="1">
      <c r="A31" s="20">
        <v>4</v>
      </c>
      <c r="B31" s="61" t="s">
        <v>24</v>
      </c>
      <c r="C31" s="7">
        <v>69.7</v>
      </c>
      <c r="D31" s="7">
        <f>70.8-6+52.8+14.4-85.5+19.1</f>
        <v>65.599999999999994</v>
      </c>
      <c r="E31" s="23">
        <f t="shared" si="0"/>
        <v>-4.1000000000000085</v>
      </c>
      <c r="F31" s="93">
        <f>+D31+D68+D50</f>
        <v>157.1</v>
      </c>
    </row>
    <row r="32" spans="1:13" ht="21" customHeight="1">
      <c r="A32" s="20">
        <v>5</v>
      </c>
      <c r="B32" s="73" t="s">
        <v>25</v>
      </c>
      <c r="C32" s="7">
        <v>222</v>
      </c>
      <c r="D32" s="22">
        <f>56.4+55.2+53.9</f>
        <v>165.5</v>
      </c>
      <c r="E32" s="23">
        <f t="shared" si="0"/>
        <v>-56.5</v>
      </c>
      <c r="F32" s="19"/>
    </row>
    <row r="33" spans="1:13" ht="21" customHeight="1">
      <c r="A33" s="20">
        <v>6</v>
      </c>
      <c r="B33" s="73" t="s">
        <v>26</v>
      </c>
      <c r="C33" s="7">
        <v>50</v>
      </c>
      <c r="D33" s="22">
        <f>15+10+10</f>
        <v>35</v>
      </c>
      <c r="E33" s="23">
        <f t="shared" si="0"/>
        <v>-15</v>
      </c>
      <c r="F33" s="19"/>
    </row>
    <row r="34" spans="1:13" ht="21" customHeight="1">
      <c r="A34" s="20">
        <v>7</v>
      </c>
      <c r="B34" s="61" t="s">
        <v>27</v>
      </c>
      <c r="C34" s="33">
        <f>+C35+C36</f>
        <v>120.2</v>
      </c>
      <c r="D34" s="33">
        <f>+D35+D36</f>
        <v>80.2</v>
      </c>
      <c r="E34" s="23">
        <f t="shared" si="0"/>
        <v>-40</v>
      </c>
      <c r="F34" s="19"/>
    </row>
    <row r="35" spans="1:13" s="32" customFormat="1" ht="21" customHeight="1">
      <c r="A35" s="26">
        <v>7.1</v>
      </c>
      <c r="B35" s="76" t="s">
        <v>28</v>
      </c>
      <c r="C35" s="27">
        <v>86.4</v>
      </c>
      <c r="D35" s="27">
        <f>48+9.6+9.6*2</f>
        <v>76.8</v>
      </c>
      <c r="E35" s="29">
        <f t="shared" si="0"/>
        <v>-9.6000000000000085</v>
      </c>
      <c r="F35" s="30"/>
      <c r="G35" s="31"/>
      <c r="H35" s="31"/>
      <c r="I35" s="31"/>
      <c r="J35" s="31"/>
      <c r="K35" s="31"/>
      <c r="L35" s="31"/>
      <c r="M35" s="31"/>
    </row>
    <row r="36" spans="1:13" s="32" customFormat="1" ht="21" customHeight="1">
      <c r="A36" s="26">
        <v>7.2</v>
      </c>
      <c r="B36" s="77" t="s">
        <v>29</v>
      </c>
      <c r="C36" s="27">
        <v>33.799999999999997</v>
      </c>
      <c r="D36" s="28">
        <f>2.2+0.4+0.8</f>
        <v>3.4000000000000004</v>
      </c>
      <c r="E36" s="29">
        <f t="shared" si="0"/>
        <v>-30.4</v>
      </c>
      <c r="F36" s="30"/>
      <c r="G36" s="31"/>
      <c r="H36" s="31"/>
      <c r="I36" s="31"/>
      <c r="J36" s="31"/>
      <c r="K36" s="31"/>
      <c r="L36" s="31"/>
      <c r="M36" s="31"/>
    </row>
    <row r="37" spans="1:13" s="32" customFormat="1" ht="21" hidden="1" customHeight="1">
      <c r="A37" s="26">
        <v>7.3</v>
      </c>
      <c r="B37" s="77" t="s">
        <v>30</v>
      </c>
      <c r="C37" s="27"/>
      <c r="D37" s="28"/>
      <c r="E37" s="29">
        <f t="shared" si="0"/>
        <v>0</v>
      </c>
      <c r="F37" s="30"/>
      <c r="G37" s="31"/>
      <c r="H37" s="31"/>
      <c r="I37" s="31"/>
      <c r="J37" s="31"/>
      <c r="K37" s="31"/>
      <c r="L37" s="31"/>
      <c r="M37" s="31"/>
    </row>
    <row r="38" spans="1:13" s="32" customFormat="1" ht="21" hidden="1" customHeight="1">
      <c r="A38" s="20">
        <v>8</v>
      </c>
      <c r="B38" s="73" t="s">
        <v>92</v>
      </c>
      <c r="C38" s="27"/>
      <c r="D38" s="28"/>
      <c r="E38" s="29">
        <f t="shared" si="0"/>
        <v>0</v>
      </c>
      <c r="F38" s="30"/>
      <c r="G38" s="31"/>
      <c r="H38" s="31"/>
      <c r="I38" s="31"/>
      <c r="J38" s="31"/>
      <c r="K38" s="31"/>
      <c r="L38" s="31"/>
      <c r="M38" s="31"/>
    </row>
    <row r="39" spans="1:13" ht="21" customHeight="1">
      <c r="A39" s="20">
        <v>8</v>
      </c>
      <c r="B39" s="73" t="s">
        <v>31</v>
      </c>
      <c r="C39" s="7">
        <v>45</v>
      </c>
      <c r="D39" s="22">
        <f>15+15+15</f>
        <v>45</v>
      </c>
      <c r="E39" s="23">
        <f t="shared" si="0"/>
        <v>0</v>
      </c>
      <c r="F39" s="19"/>
    </row>
    <row r="40" spans="1:13" ht="21" customHeight="1">
      <c r="A40" s="20">
        <v>9</v>
      </c>
      <c r="B40" s="73" t="s">
        <v>32</v>
      </c>
      <c r="C40" s="7">
        <v>500</v>
      </c>
      <c r="D40" s="22">
        <f>100+199.5+196.6</f>
        <v>496.1</v>
      </c>
      <c r="E40" s="23">
        <f t="shared" si="0"/>
        <v>-3.8999999999999773</v>
      </c>
      <c r="F40" s="19"/>
    </row>
    <row r="41" spans="1:13" ht="21" customHeight="1">
      <c r="A41" s="20">
        <v>10</v>
      </c>
      <c r="B41" s="73" t="s">
        <v>33</v>
      </c>
      <c r="C41" s="7">
        <v>300</v>
      </c>
      <c r="D41" s="22">
        <f>98.5+127.9</f>
        <v>226.4</v>
      </c>
      <c r="E41" s="23">
        <f t="shared" si="0"/>
        <v>-73.599999999999994</v>
      </c>
      <c r="F41" s="19"/>
    </row>
    <row r="42" spans="1:13" ht="21" customHeight="1">
      <c r="A42" s="20">
        <v>11</v>
      </c>
      <c r="B42" s="73" t="s">
        <v>126</v>
      </c>
      <c r="C42" s="7">
        <v>200</v>
      </c>
      <c r="D42" s="22">
        <f>50+26+81.35+37.4</f>
        <v>194.75</v>
      </c>
      <c r="E42" s="23">
        <f t="shared" si="0"/>
        <v>-5.25</v>
      </c>
      <c r="F42" s="19"/>
    </row>
    <row r="43" spans="1:13" ht="21" customHeight="1">
      <c r="A43" s="20">
        <v>11.1</v>
      </c>
      <c r="B43" s="73" t="s">
        <v>127</v>
      </c>
      <c r="C43" s="7"/>
      <c r="D43" s="22">
        <v>37.4</v>
      </c>
      <c r="E43" s="23">
        <f t="shared" si="0"/>
        <v>37.4</v>
      </c>
      <c r="F43" s="19"/>
    </row>
    <row r="44" spans="1:13" ht="21" customHeight="1">
      <c r="A44" s="20">
        <v>12</v>
      </c>
      <c r="B44" s="73" t="s">
        <v>35</v>
      </c>
      <c r="C44" s="7">
        <v>200</v>
      </c>
      <c r="D44" s="22">
        <f>44+151.3+85</f>
        <v>280.3</v>
      </c>
      <c r="E44" s="23">
        <f t="shared" si="0"/>
        <v>80.300000000000011</v>
      </c>
      <c r="F44" s="19"/>
    </row>
    <row r="45" spans="1:13" ht="21" customHeight="1">
      <c r="A45" s="20">
        <v>13</v>
      </c>
      <c r="B45" s="73" t="s">
        <v>21</v>
      </c>
      <c r="C45" s="7">
        <v>2205.8000000000002</v>
      </c>
      <c r="D45" s="22">
        <f>791.9+577.3+220.6</f>
        <v>1589.7999999999997</v>
      </c>
      <c r="E45" s="23">
        <f t="shared" si="0"/>
        <v>-616.00000000000045</v>
      </c>
      <c r="F45" s="19"/>
    </row>
    <row r="46" spans="1:13" ht="21" customHeight="1">
      <c r="A46" s="20">
        <v>14</v>
      </c>
      <c r="B46" s="73" t="s">
        <v>93</v>
      </c>
      <c r="C46" s="7">
        <v>408</v>
      </c>
      <c r="D46" s="22">
        <f>142.4+107.6+63</f>
        <v>313</v>
      </c>
      <c r="E46" s="23">
        <f t="shared" si="0"/>
        <v>-95</v>
      </c>
      <c r="F46" s="19"/>
    </row>
    <row r="47" spans="1:13" ht="23.25" customHeight="1">
      <c r="A47" s="20">
        <v>15</v>
      </c>
      <c r="B47" s="73" t="s">
        <v>36</v>
      </c>
      <c r="C47" s="22">
        <v>950</v>
      </c>
      <c r="D47" s="22">
        <f>661.9+190.5+80.3</f>
        <v>932.69999999999993</v>
      </c>
      <c r="E47" s="23">
        <f t="shared" si="0"/>
        <v>-17.300000000000068</v>
      </c>
      <c r="F47" s="19"/>
    </row>
    <row r="48" spans="1:13" ht="21" customHeight="1">
      <c r="A48" s="20">
        <v>16</v>
      </c>
      <c r="B48" s="73" t="s">
        <v>37</v>
      </c>
      <c r="C48" s="22">
        <v>300</v>
      </c>
      <c r="D48" s="22">
        <f>74.6+135.6</f>
        <v>210.2</v>
      </c>
      <c r="E48" s="23">
        <f t="shared" si="0"/>
        <v>-89.800000000000011</v>
      </c>
      <c r="F48" s="19"/>
    </row>
    <row r="49" spans="1:13" ht="19.5" hidden="1" customHeight="1">
      <c r="A49" s="20">
        <v>18</v>
      </c>
      <c r="B49" s="73" t="s">
        <v>38</v>
      </c>
      <c r="C49" s="22"/>
      <c r="D49" s="22"/>
      <c r="E49" s="23">
        <f t="shared" si="0"/>
        <v>0</v>
      </c>
      <c r="F49" s="19"/>
    </row>
    <row r="50" spans="1:13" ht="21" customHeight="1">
      <c r="A50" s="20">
        <v>17</v>
      </c>
      <c r="B50" s="73" t="s">
        <v>39</v>
      </c>
      <c r="C50" s="7">
        <v>12</v>
      </c>
      <c r="D50" s="22">
        <v>6</v>
      </c>
      <c r="E50" s="23">
        <f t="shared" si="0"/>
        <v>-6</v>
      </c>
      <c r="F50" s="19"/>
    </row>
    <row r="51" spans="1:13" ht="21" customHeight="1">
      <c r="A51" s="20">
        <v>18</v>
      </c>
      <c r="B51" s="73" t="s">
        <v>40</v>
      </c>
      <c r="C51" s="22">
        <v>100</v>
      </c>
      <c r="D51" s="22">
        <v>80</v>
      </c>
      <c r="E51" s="23">
        <f t="shared" si="0"/>
        <v>-20</v>
      </c>
      <c r="F51" s="19"/>
    </row>
    <row r="52" spans="1:13" ht="21.75" customHeight="1">
      <c r="A52" s="20">
        <v>19</v>
      </c>
      <c r="B52" s="34" t="s">
        <v>41</v>
      </c>
      <c r="C52" s="22">
        <v>150</v>
      </c>
      <c r="D52" s="22">
        <f>4+12+12</f>
        <v>28</v>
      </c>
      <c r="E52" s="23">
        <f t="shared" si="0"/>
        <v>-122</v>
      </c>
      <c r="F52" s="19"/>
    </row>
    <row r="53" spans="1:13" ht="23.25" customHeight="1">
      <c r="A53" s="20">
        <v>20</v>
      </c>
      <c r="B53" s="34" t="s">
        <v>42</v>
      </c>
      <c r="C53" s="22">
        <v>105</v>
      </c>
      <c r="D53" s="22">
        <v>95</v>
      </c>
      <c r="E53" s="23">
        <f t="shared" si="0"/>
        <v>-10</v>
      </c>
      <c r="F53" s="19"/>
    </row>
    <row r="54" spans="1:13" ht="21" customHeight="1">
      <c r="A54" s="20">
        <v>21</v>
      </c>
      <c r="B54" s="34" t="s">
        <v>43</v>
      </c>
      <c r="C54" s="22">
        <v>3</v>
      </c>
      <c r="D54" s="22">
        <v>3</v>
      </c>
      <c r="E54" s="23">
        <f t="shared" si="0"/>
        <v>0</v>
      </c>
      <c r="F54" s="93">
        <f>+D53+D54+D62</f>
        <v>128</v>
      </c>
    </row>
    <row r="55" spans="1:13" ht="21" customHeight="1">
      <c r="A55" s="20">
        <v>22</v>
      </c>
      <c r="B55" s="34" t="s">
        <v>94</v>
      </c>
      <c r="C55" s="22">
        <v>6</v>
      </c>
      <c r="D55" s="22"/>
      <c r="E55" s="23">
        <f t="shared" si="0"/>
        <v>-6</v>
      </c>
      <c r="F55" s="19"/>
    </row>
    <row r="56" spans="1:13" ht="21" hidden="1" customHeight="1">
      <c r="A56" s="20">
        <v>25</v>
      </c>
      <c r="B56" s="34" t="s">
        <v>44</v>
      </c>
      <c r="C56" s="22"/>
      <c r="D56" s="22"/>
      <c r="E56" s="23">
        <f t="shared" si="0"/>
        <v>0</v>
      </c>
      <c r="F56" s="19"/>
    </row>
    <row r="57" spans="1:13" ht="21" hidden="1" customHeight="1">
      <c r="A57" s="20">
        <v>26</v>
      </c>
      <c r="B57" s="34" t="s">
        <v>45</v>
      </c>
      <c r="C57" s="22"/>
      <c r="D57" s="22"/>
      <c r="E57" s="23">
        <f t="shared" si="0"/>
        <v>0</v>
      </c>
      <c r="F57" s="19"/>
    </row>
    <row r="58" spans="1:13" ht="21" hidden="1" customHeight="1">
      <c r="A58" s="20">
        <v>27</v>
      </c>
      <c r="B58" s="34" t="s">
        <v>95</v>
      </c>
      <c r="C58" s="22"/>
      <c r="D58" s="22"/>
      <c r="E58" s="23">
        <f t="shared" si="0"/>
        <v>0</v>
      </c>
      <c r="F58" s="19"/>
    </row>
    <row r="59" spans="1:13" ht="21" hidden="1" customHeight="1">
      <c r="A59" s="20">
        <v>28</v>
      </c>
      <c r="B59" s="73" t="s">
        <v>115</v>
      </c>
      <c r="C59" s="22"/>
      <c r="D59" s="22"/>
      <c r="E59" s="23">
        <f t="shared" si="0"/>
        <v>0</v>
      </c>
      <c r="F59" s="19"/>
    </row>
    <row r="60" spans="1:13" ht="21" hidden="1" customHeight="1">
      <c r="A60" s="20">
        <v>29</v>
      </c>
      <c r="B60" s="73" t="s">
        <v>46</v>
      </c>
      <c r="C60" s="22"/>
      <c r="D60" s="22"/>
      <c r="E60" s="88">
        <f t="shared" si="0"/>
        <v>0</v>
      </c>
      <c r="F60" s="19"/>
    </row>
    <row r="61" spans="1:13" ht="23.25" customHeight="1">
      <c r="A61" s="20">
        <v>23</v>
      </c>
      <c r="B61" s="24" t="s">
        <v>121</v>
      </c>
      <c r="C61" s="22">
        <v>12</v>
      </c>
      <c r="D61" s="22"/>
      <c r="E61" s="22">
        <f>D61-C61</f>
        <v>-12</v>
      </c>
      <c r="F61" s="19"/>
    </row>
    <row r="62" spans="1:13" ht="21" customHeight="1">
      <c r="A62" s="20">
        <v>24</v>
      </c>
      <c r="B62" s="24" t="s">
        <v>125</v>
      </c>
      <c r="C62" s="22">
        <v>30</v>
      </c>
      <c r="D62" s="22">
        <v>30</v>
      </c>
      <c r="E62" s="22">
        <f>D62-C62</f>
        <v>0</v>
      </c>
      <c r="F62" s="19" t="s">
        <v>116</v>
      </c>
    </row>
    <row r="63" spans="1:13" ht="21" customHeight="1">
      <c r="A63" s="20">
        <v>25</v>
      </c>
      <c r="B63" s="24" t="s">
        <v>47</v>
      </c>
      <c r="C63" s="22"/>
      <c r="D63" s="22">
        <v>1729.1</v>
      </c>
      <c r="E63" s="23">
        <f t="shared" si="0"/>
        <v>1729.1</v>
      </c>
      <c r="F63" s="19"/>
    </row>
    <row r="64" spans="1:13" s="32" customFormat="1" ht="21" hidden="1" customHeight="1">
      <c r="A64" s="78">
        <v>32.1</v>
      </c>
      <c r="B64" s="77" t="s">
        <v>111</v>
      </c>
      <c r="C64" s="28"/>
      <c r="D64" s="28"/>
      <c r="E64" s="29">
        <f t="shared" si="0"/>
        <v>0</v>
      </c>
      <c r="F64" s="30"/>
      <c r="G64" s="31"/>
      <c r="H64" s="31"/>
      <c r="I64" s="31"/>
      <c r="J64" s="31"/>
      <c r="K64" s="31"/>
      <c r="L64" s="31"/>
      <c r="M64" s="31"/>
    </row>
    <row r="65" spans="1:13" ht="21" customHeight="1">
      <c r="A65" s="20">
        <v>26</v>
      </c>
      <c r="B65" s="79" t="s">
        <v>48</v>
      </c>
      <c r="C65" s="7">
        <v>20</v>
      </c>
      <c r="D65" s="22">
        <v>0</v>
      </c>
      <c r="E65" s="23">
        <f t="shared" si="0"/>
        <v>-20</v>
      </c>
      <c r="F65" s="19"/>
    </row>
    <row r="66" spans="1:13" ht="21" customHeight="1">
      <c r="A66" s="20">
        <v>27</v>
      </c>
      <c r="B66" s="79" t="s">
        <v>49</v>
      </c>
      <c r="C66" s="7">
        <v>27</v>
      </c>
      <c r="D66" s="22">
        <f>6+2</f>
        <v>8</v>
      </c>
      <c r="E66" s="23">
        <f t="shared" si="0"/>
        <v>-19</v>
      </c>
      <c r="F66" s="19"/>
    </row>
    <row r="67" spans="1:13" ht="21" hidden="1" customHeight="1">
      <c r="A67" s="20">
        <v>35</v>
      </c>
      <c r="B67" s="73" t="s">
        <v>50</v>
      </c>
      <c r="C67" s="22"/>
      <c r="D67" s="22"/>
      <c r="E67" s="23">
        <f>D67-C67</f>
        <v>0</v>
      </c>
      <c r="F67" s="19"/>
    </row>
    <row r="68" spans="1:13" ht="21" customHeight="1">
      <c r="A68" s="20">
        <v>28</v>
      </c>
      <c r="B68" s="73" t="s">
        <v>51</v>
      </c>
      <c r="C68" s="22">
        <v>200</v>
      </c>
      <c r="D68" s="22">
        <v>85.5</v>
      </c>
      <c r="E68" s="23">
        <f t="shared" si="0"/>
        <v>-114.5</v>
      </c>
      <c r="F68" s="19"/>
    </row>
    <row r="69" spans="1:13" s="39" customFormat="1" ht="24.75" customHeight="1">
      <c r="A69" s="16"/>
      <c r="B69" s="37" t="s">
        <v>53</v>
      </c>
      <c r="C69" s="18">
        <f>C6-C24</f>
        <v>-4335.6000000000058</v>
      </c>
      <c r="D69" s="18">
        <f>D6-D24</f>
        <v>-3587.8499999999985</v>
      </c>
      <c r="E69" s="18">
        <f t="shared" si="0"/>
        <v>747.75000000000728</v>
      </c>
      <c r="F69" s="38"/>
      <c r="G69" s="6"/>
      <c r="H69" s="6"/>
      <c r="I69" s="6"/>
      <c r="J69" s="6"/>
      <c r="K69" s="6"/>
      <c r="L69" s="6"/>
      <c r="M69" s="6"/>
    </row>
    <row r="70" spans="1:13" s="39" customFormat="1" ht="24.75" customHeight="1">
      <c r="A70" s="90"/>
      <c r="B70" s="91"/>
      <c r="C70" s="92"/>
      <c r="D70" s="92"/>
      <c r="E70" s="92"/>
      <c r="F70" s="38"/>
      <c r="G70" s="6"/>
      <c r="H70" s="6"/>
      <c r="I70" s="6"/>
      <c r="J70" s="6"/>
      <c r="K70" s="6"/>
      <c r="L70" s="6"/>
      <c r="M70" s="6"/>
    </row>
    <row r="71" spans="1:13">
      <c r="B71" s="40"/>
      <c r="C71" s="40"/>
      <c r="D71" s="40"/>
      <c r="E71" s="40"/>
      <c r="F71" s="19"/>
    </row>
    <row r="72" spans="1:13">
      <c r="B72" s="71" t="s">
        <v>73</v>
      </c>
      <c r="C72" s="40"/>
      <c r="D72" s="40"/>
      <c r="E72" s="40"/>
      <c r="F72" s="19"/>
    </row>
    <row r="73" spans="1:13" ht="18" customHeight="1">
      <c r="B73" s="40"/>
      <c r="C73" s="40"/>
      <c r="D73" s="40"/>
      <c r="E73" s="40"/>
      <c r="F73" s="19"/>
    </row>
    <row r="74" spans="1:13" ht="18" customHeight="1">
      <c r="B74" s="40"/>
      <c r="C74" s="40"/>
      <c r="D74" s="40"/>
      <c r="E74" s="40"/>
      <c r="F74" s="19"/>
    </row>
    <row r="75" spans="1:13" ht="18" customHeight="1">
      <c r="B75" s="40"/>
      <c r="C75" s="40"/>
      <c r="D75" s="40"/>
      <c r="E75" s="40"/>
      <c r="F75" s="19"/>
    </row>
    <row r="76" spans="1:13" ht="18" customHeight="1">
      <c r="B76" s="40"/>
      <c r="C76" s="40"/>
      <c r="D76" s="40"/>
      <c r="E76" s="40"/>
      <c r="F76" s="19"/>
    </row>
    <row r="77" spans="1:13" ht="17.25">
      <c r="B77" s="41" t="s">
        <v>2</v>
      </c>
      <c r="C77" s="42"/>
      <c r="D77" s="101"/>
      <c r="E77" s="101"/>
      <c r="F77" s="19"/>
    </row>
    <row r="78" spans="1:13" ht="9.75" customHeight="1">
      <c r="B78" s="43"/>
      <c r="C78" s="40"/>
      <c r="D78" s="97" t="s">
        <v>54</v>
      </c>
      <c r="E78" s="97"/>
      <c r="F78" s="19"/>
    </row>
    <row r="79" spans="1:13" ht="15" customHeight="1">
      <c r="B79" s="43"/>
      <c r="C79" s="40"/>
      <c r="D79" s="44"/>
      <c r="E79" s="44"/>
      <c r="F79" s="19"/>
    </row>
    <row r="80" spans="1:13" ht="21" customHeight="1">
      <c r="B80" s="41" t="s">
        <v>3</v>
      </c>
      <c r="C80" s="42"/>
      <c r="D80" s="101"/>
      <c r="E80" s="101"/>
      <c r="F80" s="19"/>
    </row>
    <row r="81" spans="2:6" ht="11.25" customHeight="1">
      <c r="B81" s="40"/>
      <c r="C81" s="40"/>
      <c r="D81" s="97" t="s">
        <v>54</v>
      </c>
      <c r="E81" s="97"/>
      <c r="F81" s="19"/>
    </row>
    <row r="82" spans="2:6">
      <c r="B82" s="80" t="s">
        <v>1</v>
      </c>
      <c r="C82" s="40"/>
      <c r="D82" s="40"/>
      <c r="E82" s="40"/>
      <c r="F82" s="19"/>
    </row>
    <row r="83" spans="2:6">
      <c r="B83" s="40"/>
      <c r="C83" s="40"/>
      <c r="D83" s="40"/>
      <c r="E83" s="40"/>
      <c r="F83" s="19"/>
    </row>
    <row r="84" spans="2:6">
      <c r="B84" s="40"/>
      <c r="C84" s="40"/>
      <c r="D84" s="40"/>
      <c r="E84" s="40"/>
      <c r="F84" s="19"/>
    </row>
    <row r="85" spans="2:6">
      <c r="B85" s="40"/>
      <c r="C85" s="40"/>
      <c r="D85" s="40"/>
      <c r="E85" s="40"/>
      <c r="F85" s="19"/>
    </row>
    <row r="86" spans="2:6">
      <c r="B86" s="40"/>
      <c r="C86" s="40"/>
      <c r="D86" s="40"/>
      <c r="E86" s="40"/>
      <c r="F86" s="19"/>
    </row>
    <row r="87" spans="2:6">
      <c r="B87" s="40"/>
      <c r="C87" s="40"/>
      <c r="D87" s="40"/>
      <c r="E87" s="40"/>
    </row>
    <row r="88" spans="2:6">
      <c r="B88" s="40"/>
      <c r="C88" s="40"/>
      <c r="D88" s="40"/>
      <c r="E88" s="40"/>
    </row>
    <row r="89" spans="2:6">
      <c r="B89" s="40"/>
      <c r="C89" s="40"/>
      <c r="D89" s="40"/>
      <c r="E89" s="40"/>
    </row>
  </sheetData>
  <sheetProtection formatCells="0" formatColumns="0" formatRows="0" insertColumns="0" insertRows="0" insertHyperlinks="0" deleteColumns="0" deleteRows="0" sort="0" autoFilter="0" pivotTables="0"/>
  <mergeCells count="7">
    <mergeCell ref="D81:E81"/>
    <mergeCell ref="A1:E1"/>
    <mergeCell ref="A2:E2"/>
    <mergeCell ref="A3:E3"/>
    <mergeCell ref="D77:E77"/>
    <mergeCell ref="D78:E78"/>
    <mergeCell ref="D80:E80"/>
  </mergeCells>
  <pageMargins left="0.19685039370078741" right="0.19685039370078741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topLeftCell="A30" zoomScaleSheetLayoutView="100" workbookViewId="0">
      <selection activeCell="D67" sqref="D67"/>
    </sheetView>
  </sheetViews>
  <sheetFormatPr defaultRowHeight="13.5"/>
  <cols>
    <col min="1" max="1" width="4.85546875" style="8" customWidth="1"/>
    <col min="2" max="2" width="62.28515625" style="8" customWidth="1"/>
    <col min="3" max="3" width="18.28515625" style="8" customWidth="1"/>
    <col min="4" max="4" width="19" style="8" customWidth="1"/>
    <col min="5" max="5" width="15.5703125" style="8" customWidth="1"/>
    <col min="6" max="13" width="9.140625" style="4"/>
    <col min="14" max="16384" width="9.140625" style="8"/>
  </cols>
  <sheetData>
    <row r="1" spans="1:13" ht="16.5" customHeight="1">
      <c r="A1" s="98" t="s">
        <v>96</v>
      </c>
      <c r="B1" s="98"/>
      <c r="C1" s="98"/>
      <c r="D1" s="98"/>
      <c r="E1" s="98"/>
    </row>
    <row r="2" spans="1:13" s="9" customFormat="1" ht="26.25" customHeight="1">
      <c r="A2" s="99" t="s">
        <v>119</v>
      </c>
      <c r="B2" s="99"/>
      <c r="C2" s="99"/>
      <c r="D2" s="99"/>
      <c r="E2" s="99"/>
      <c r="F2" s="75"/>
      <c r="G2" s="75"/>
      <c r="H2" s="2"/>
      <c r="I2" s="2"/>
      <c r="J2" s="2"/>
      <c r="K2" s="2"/>
      <c r="L2" s="2"/>
      <c r="M2" s="2"/>
    </row>
    <row r="3" spans="1:13" ht="38.25" customHeight="1">
      <c r="A3" s="103" t="s">
        <v>77</v>
      </c>
      <c r="B3" s="103"/>
      <c r="C3" s="103"/>
      <c r="D3" s="103"/>
      <c r="E3" s="103"/>
      <c r="F3" s="10"/>
      <c r="G3" s="10"/>
      <c r="H3" s="10"/>
      <c r="I3" s="10"/>
      <c r="J3" s="10"/>
      <c r="K3" s="10"/>
    </row>
    <row r="4" spans="1:13" s="9" customFormat="1" ht="17.25" customHeight="1">
      <c r="A4" s="45"/>
      <c r="B4" s="45"/>
      <c r="E4" s="46" t="s">
        <v>97</v>
      </c>
      <c r="F4" s="2"/>
      <c r="G4" s="2"/>
      <c r="H4" s="2"/>
      <c r="I4" s="2"/>
      <c r="J4" s="2"/>
      <c r="K4" s="2"/>
      <c r="L4" s="2"/>
      <c r="M4" s="2"/>
    </row>
    <row r="5" spans="1:13" s="9" customFormat="1" ht="61.5" customHeight="1">
      <c r="A5" s="13" t="s">
        <v>0</v>
      </c>
      <c r="B5" s="14" t="s">
        <v>7</v>
      </c>
      <c r="C5" s="72" t="s">
        <v>76</v>
      </c>
      <c r="D5" s="72" t="s">
        <v>75</v>
      </c>
      <c r="E5" s="15" t="s">
        <v>8</v>
      </c>
      <c r="F5" s="2"/>
      <c r="G5" s="2"/>
      <c r="H5" s="2"/>
      <c r="I5" s="2"/>
      <c r="J5" s="2"/>
      <c r="K5" s="2"/>
      <c r="L5" s="2"/>
      <c r="M5" s="2"/>
    </row>
    <row r="6" spans="1:13" s="9" customFormat="1" ht="41.25" customHeight="1">
      <c r="A6" s="47" t="s">
        <v>9</v>
      </c>
      <c r="B6" s="48" t="s">
        <v>55</v>
      </c>
      <c r="C6" s="49">
        <v>13570.7</v>
      </c>
      <c r="D6" s="49">
        <v>13570.7</v>
      </c>
      <c r="E6" s="50">
        <f t="shared" ref="E6:E70" si="0">D6-C6</f>
        <v>0</v>
      </c>
      <c r="F6" s="2"/>
      <c r="G6" s="2"/>
      <c r="H6" s="2"/>
      <c r="I6" s="2"/>
      <c r="J6" s="2"/>
      <c r="K6" s="2"/>
      <c r="L6" s="2"/>
      <c r="M6" s="2"/>
    </row>
    <row r="7" spans="1:13" s="9" customFormat="1" ht="34.5">
      <c r="A7" s="47" t="s">
        <v>17</v>
      </c>
      <c r="B7" s="48" t="s">
        <v>98</v>
      </c>
      <c r="C7" s="50">
        <f>SUM(C8,C12:C22)</f>
        <v>46383.6</v>
      </c>
      <c r="D7" s="50">
        <f>SUM(D8,D12:D22)</f>
        <v>45440.329999999994</v>
      </c>
      <c r="E7" s="50">
        <f>D7-C7</f>
        <v>-943.27000000000407</v>
      </c>
      <c r="F7" s="2"/>
      <c r="G7" s="2"/>
      <c r="H7" s="2"/>
      <c r="I7" s="2"/>
      <c r="J7" s="2"/>
      <c r="K7" s="2"/>
      <c r="L7" s="2"/>
      <c r="M7" s="2"/>
    </row>
    <row r="8" spans="1:13" s="9" customFormat="1" ht="17.25" customHeight="1">
      <c r="A8" s="20">
        <v>1</v>
      </c>
      <c r="B8" s="24" t="s">
        <v>84</v>
      </c>
      <c r="C8" s="51">
        <v>39099.1</v>
      </c>
      <c r="D8" s="51">
        <f>10934.5+14082.3+14082.3</f>
        <v>39099.1</v>
      </c>
      <c r="E8" s="52">
        <f>D8-C8</f>
        <v>0</v>
      </c>
      <c r="F8" s="2"/>
      <c r="G8" s="2"/>
      <c r="H8" s="2"/>
      <c r="I8" s="2"/>
      <c r="J8" s="2"/>
      <c r="K8" s="2"/>
      <c r="L8" s="2"/>
      <c r="M8" s="2"/>
    </row>
    <row r="9" spans="1:13" s="32" customFormat="1" ht="17.25" customHeight="1">
      <c r="A9" s="28">
        <v>1.1000000000000001</v>
      </c>
      <c r="B9" s="76" t="s">
        <v>85</v>
      </c>
      <c r="C9" s="53">
        <v>13228.2</v>
      </c>
      <c r="D9" s="53">
        <v>13228.2</v>
      </c>
      <c r="E9" s="55">
        <f t="shared" si="0"/>
        <v>0</v>
      </c>
      <c r="F9" s="31"/>
      <c r="G9" s="31"/>
      <c r="H9" s="31"/>
      <c r="I9" s="31"/>
      <c r="J9" s="31"/>
      <c r="K9" s="31"/>
      <c r="L9" s="31"/>
      <c r="M9" s="31"/>
    </row>
    <row r="10" spans="1:13" s="32" customFormat="1" ht="17.25" hidden="1" customHeight="1">
      <c r="A10" s="28">
        <v>1.2</v>
      </c>
      <c r="B10" s="76" t="s">
        <v>86</v>
      </c>
      <c r="C10" s="53"/>
      <c r="D10" s="53"/>
      <c r="E10" s="55">
        <f t="shared" si="0"/>
        <v>0</v>
      </c>
      <c r="F10" s="31"/>
      <c r="G10" s="31"/>
      <c r="H10" s="31"/>
      <c r="I10" s="31"/>
      <c r="J10" s="31"/>
      <c r="K10" s="31"/>
      <c r="L10" s="31"/>
      <c r="M10" s="31"/>
    </row>
    <row r="11" spans="1:13" s="32" customFormat="1" ht="17.25" hidden="1" customHeight="1">
      <c r="A11" s="28">
        <v>1.3</v>
      </c>
      <c r="B11" s="76" t="s">
        <v>87</v>
      </c>
      <c r="C11" s="53"/>
      <c r="D11" s="53"/>
      <c r="E11" s="55">
        <f t="shared" si="0"/>
        <v>0</v>
      </c>
      <c r="F11" s="31"/>
      <c r="G11" s="31"/>
      <c r="H11" s="31"/>
      <c r="I11" s="31"/>
      <c r="J11" s="31"/>
      <c r="K11" s="31"/>
      <c r="L11" s="31"/>
      <c r="M11" s="31"/>
    </row>
    <row r="12" spans="1:13" s="9" customFormat="1" ht="17.25" hidden="1" customHeight="1">
      <c r="A12" s="20">
        <v>2</v>
      </c>
      <c r="B12" s="73" t="s">
        <v>11</v>
      </c>
      <c r="C12" s="51"/>
      <c r="D12" s="51"/>
      <c r="E12" s="52">
        <f t="shared" si="0"/>
        <v>0</v>
      </c>
      <c r="F12" s="2"/>
      <c r="G12" s="2"/>
      <c r="H12" s="2"/>
      <c r="I12" s="2"/>
      <c r="J12" s="2"/>
      <c r="K12" s="2"/>
      <c r="L12" s="2"/>
      <c r="M12" s="2"/>
    </row>
    <row r="13" spans="1:13" s="9" customFormat="1" ht="17.25" hidden="1" customHeight="1">
      <c r="A13" s="20">
        <v>2</v>
      </c>
      <c r="B13" s="73" t="s">
        <v>88</v>
      </c>
      <c r="C13" s="51"/>
      <c r="D13" s="51"/>
      <c r="E13" s="52">
        <f t="shared" si="0"/>
        <v>0</v>
      </c>
      <c r="F13" s="2"/>
      <c r="G13" s="2"/>
      <c r="H13" s="2"/>
      <c r="I13" s="2"/>
      <c r="J13" s="2"/>
      <c r="K13" s="2"/>
      <c r="L13" s="2"/>
      <c r="M13" s="2"/>
    </row>
    <row r="14" spans="1:13" s="9" customFormat="1" ht="17.25" customHeight="1">
      <c r="A14" s="20">
        <v>2</v>
      </c>
      <c r="B14" s="61" t="s">
        <v>12</v>
      </c>
      <c r="C14" s="51">
        <v>7232</v>
      </c>
      <c r="D14" s="51">
        <f>1550.6+4722.9+20.6-4</f>
        <v>6290.1</v>
      </c>
      <c r="E14" s="52">
        <f t="shared" si="0"/>
        <v>-941.89999999999964</v>
      </c>
      <c r="F14" s="96">
        <f>+D14+D19</f>
        <v>6330.6</v>
      </c>
      <c r="G14" s="2"/>
      <c r="H14" s="2"/>
      <c r="I14" s="2"/>
      <c r="J14" s="2"/>
      <c r="K14" s="2"/>
      <c r="L14" s="2"/>
      <c r="M14" s="2"/>
    </row>
    <row r="15" spans="1:13" s="9" customFormat="1" ht="17.25" customHeight="1">
      <c r="A15" s="20">
        <v>3</v>
      </c>
      <c r="B15" s="73" t="s">
        <v>13</v>
      </c>
      <c r="C15" s="51">
        <v>12</v>
      </c>
      <c r="D15" s="51">
        <f>6+4</f>
        <v>10</v>
      </c>
      <c r="E15" s="52">
        <f t="shared" si="0"/>
        <v>-2</v>
      </c>
      <c r="F15" s="2"/>
      <c r="G15" s="2"/>
      <c r="H15" s="2"/>
      <c r="I15" s="2"/>
      <c r="J15" s="2"/>
      <c r="K15" s="2"/>
      <c r="L15" s="2"/>
      <c r="M15" s="2"/>
    </row>
    <row r="16" spans="1:13" s="9" customFormat="1" ht="17.25" hidden="1" customHeight="1">
      <c r="A16" s="20">
        <v>6</v>
      </c>
      <c r="B16" s="61" t="s">
        <v>89</v>
      </c>
      <c r="C16" s="51"/>
      <c r="D16" s="51"/>
      <c r="E16" s="52">
        <f t="shared" si="0"/>
        <v>0</v>
      </c>
      <c r="F16" s="2"/>
      <c r="G16" s="2"/>
      <c r="H16" s="2"/>
      <c r="I16" s="2"/>
      <c r="J16" s="2"/>
      <c r="K16" s="2"/>
      <c r="L16" s="2"/>
      <c r="M16" s="2"/>
    </row>
    <row r="17" spans="1:13" s="9" customFormat="1" ht="17.25" hidden="1" customHeight="1">
      <c r="A17" s="20">
        <v>7</v>
      </c>
      <c r="B17" s="61" t="s">
        <v>14</v>
      </c>
      <c r="C17" s="51"/>
      <c r="D17" s="51"/>
      <c r="E17" s="52">
        <f t="shared" si="0"/>
        <v>0</v>
      </c>
      <c r="F17" s="2"/>
      <c r="G17" s="2"/>
      <c r="H17" s="2"/>
      <c r="I17" s="2"/>
      <c r="J17" s="2"/>
      <c r="K17" s="2"/>
      <c r="L17" s="2"/>
      <c r="M17" s="2"/>
    </row>
    <row r="18" spans="1:13" s="9" customFormat="1" ht="17.25" hidden="1" customHeight="1">
      <c r="A18" s="20">
        <v>8</v>
      </c>
      <c r="B18" s="61" t="s">
        <v>15</v>
      </c>
      <c r="C18" s="51"/>
      <c r="D18" s="51"/>
      <c r="E18" s="52">
        <f t="shared" si="0"/>
        <v>0</v>
      </c>
      <c r="F18" s="2"/>
      <c r="G18" s="2"/>
      <c r="H18" s="2"/>
      <c r="I18" s="2"/>
      <c r="J18" s="2"/>
      <c r="K18" s="2"/>
      <c r="L18" s="2"/>
      <c r="M18" s="2"/>
    </row>
    <row r="19" spans="1:13" s="9" customFormat="1" ht="17.25" customHeight="1">
      <c r="A19" s="20">
        <v>4</v>
      </c>
      <c r="B19" s="61" t="s">
        <v>56</v>
      </c>
      <c r="C19" s="51">
        <v>40.5</v>
      </c>
      <c r="D19" s="51">
        <v>40.5</v>
      </c>
      <c r="E19" s="52">
        <f t="shared" si="0"/>
        <v>0</v>
      </c>
      <c r="F19" s="2"/>
      <c r="G19" s="2"/>
      <c r="H19" s="2"/>
      <c r="I19" s="2"/>
      <c r="J19" s="2"/>
      <c r="K19" s="2"/>
      <c r="L19" s="2"/>
      <c r="M19" s="2"/>
    </row>
    <row r="20" spans="1:13" s="9" customFormat="1" ht="17.25" customHeight="1">
      <c r="A20" s="20">
        <v>5</v>
      </c>
      <c r="B20" s="61" t="s">
        <v>16</v>
      </c>
      <c r="C20" s="51"/>
      <c r="D20" s="51">
        <f>0.28+0.18+0.17</f>
        <v>0.63</v>
      </c>
      <c r="E20" s="52">
        <f>D20-C20</f>
        <v>0.63</v>
      </c>
      <c r="F20" s="2"/>
      <c r="G20" s="2"/>
      <c r="H20" s="2"/>
      <c r="I20" s="2"/>
      <c r="J20" s="2"/>
      <c r="K20" s="2"/>
      <c r="L20" s="2"/>
      <c r="M20" s="2"/>
    </row>
    <row r="21" spans="1:13" s="9" customFormat="1" ht="17.25" hidden="1" customHeight="1">
      <c r="A21" s="20">
        <v>7</v>
      </c>
      <c r="B21" s="35" t="s">
        <v>122</v>
      </c>
      <c r="C21" s="51"/>
      <c r="D21" s="51"/>
      <c r="E21" s="51">
        <f t="shared" si="0"/>
        <v>0</v>
      </c>
      <c r="F21" s="2"/>
      <c r="G21" s="2"/>
      <c r="H21" s="2"/>
      <c r="I21" s="2"/>
      <c r="J21" s="2"/>
      <c r="K21" s="2"/>
      <c r="L21" s="2"/>
      <c r="M21" s="2"/>
    </row>
    <row r="22" spans="1:13" s="9" customFormat="1" ht="17.25" hidden="1" customHeight="1">
      <c r="A22" s="20">
        <v>12</v>
      </c>
      <c r="B22" s="35"/>
      <c r="C22" s="51"/>
      <c r="D22" s="51"/>
      <c r="E22" s="51">
        <f>D22-C22</f>
        <v>0</v>
      </c>
      <c r="F22" s="19" t="s">
        <v>112</v>
      </c>
      <c r="G22" s="2"/>
      <c r="H22" s="2"/>
      <c r="I22" s="2"/>
      <c r="J22" s="2"/>
      <c r="K22" s="2"/>
      <c r="L22" s="2"/>
      <c r="M22" s="2"/>
    </row>
    <row r="23" spans="1:13" s="9" customFormat="1" ht="36" customHeight="1">
      <c r="A23" s="47" t="s">
        <v>52</v>
      </c>
      <c r="B23" s="48" t="s">
        <v>99</v>
      </c>
      <c r="C23" s="50">
        <f>+C24+C69+C83+C86</f>
        <v>57742.899999999994</v>
      </c>
      <c r="D23" s="50">
        <f>+D24+D69+D83+D86</f>
        <v>52119.8</v>
      </c>
      <c r="E23" s="50">
        <f t="shared" si="0"/>
        <v>-5623.0999999999913</v>
      </c>
      <c r="F23" s="2"/>
      <c r="G23" s="2"/>
      <c r="H23" s="2"/>
      <c r="I23" s="2"/>
      <c r="J23" s="2"/>
      <c r="K23" s="2"/>
      <c r="L23" s="2"/>
      <c r="M23" s="2"/>
    </row>
    <row r="24" spans="1:13" s="9" customFormat="1" ht="21" customHeight="1">
      <c r="A24" s="81" t="s">
        <v>57</v>
      </c>
      <c r="B24" s="48" t="s">
        <v>100</v>
      </c>
      <c r="C24" s="50">
        <f>SUM(C25,C29:C34,C38:C62,C66:C68)</f>
        <v>53147.899999999994</v>
      </c>
      <c r="D24" s="50">
        <f>SUM(D25,D29:D34,D38:D62,D66:D68)</f>
        <v>46890.700000000004</v>
      </c>
      <c r="E24" s="50">
        <f t="shared" si="0"/>
        <v>-6257.1999999999898</v>
      </c>
      <c r="F24" s="2"/>
      <c r="G24" s="2"/>
      <c r="H24" s="2"/>
      <c r="I24" s="2"/>
      <c r="J24" s="2"/>
      <c r="K24" s="2"/>
      <c r="L24" s="2"/>
      <c r="M24" s="2"/>
    </row>
    <row r="25" spans="1:13" s="9" customFormat="1" ht="18" customHeight="1">
      <c r="A25" s="20">
        <v>1</v>
      </c>
      <c r="B25" s="35" t="s">
        <v>19</v>
      </c>
      <c r="C25" s="51">
        <v>39786.300000000003</v>
      </c>
      <c r="D25" s="51">
        <f>12419.3+9822.5+3078+127.3+124.6+114-80+7104.4+3015.7+64+86.8+134</f>
        <v>36010.6</v>
      </c>
      <c r="E25" s="52">
        <f t="shared" si="0"/>
        <v>-3775.7000000000044</v>
      </c>
      <c r="F25" s="2"/>
      <c r="G25" s="2"/>
      <c r="H25" s="2"/>
      <c r="I25" s="2"/>
      <c r="J25" s="2"/>
      <c r="K25" s="2"/>
      <c r="L25" s="2"/>
      <c r="M25" s="2"/>
    </row>
    <row r="26" spans="1:13" s="9" customFormat="1" ht="18" customHeight="1">
      <c r="A26" s="26">
        <v>1.1000000000000001</v>
      </c>
      <c r="B26" s="76" t="s">
        <v>90</v>
      </c>
      <c r="C26" s="51">
        <v>4812.8</v>
      </c>
      <c r="D26" s="51">
        <v>4812.8</v>
      </c>
      <c r="E26" s="52">
        <f t="shared" si="0"/>
        <v>0</v>
      </c>
      <c r="F26" s="2"/>
      <c r="G26" s="2"/>
      <c r="H26" s="2"/>
      <c r="I26" s="2"/>
      <c r="J26" s="2"/>
      <c r="K26" s="2"/>
      <c r="L26" s="2"/>
      <c r="M26" s="2"/>
    </row>
    <row r="27" spans="1:13" s="9" customFormat="1" ht="18" hidden="1" customHeight="1">
      <c r="A27" s="26">
        <v>1.2</v>
      </c>
      <c r="B27" s="76" t="s">
        <v>91</v>
      </c>
      <c r="C27" s="51"/>
      <c r="D27" s="51"/>
      <c r="E27" s="52">
        <f t="shared" si="0"/>
        <v>0</v>
      </c>
      <c r="F27" s="2"/>
      <c r="G27" s="2"/>
      <c r="H27" s="2"/>
      <c r="I27" s="2"/>
      <c r="J27" s="2"/>
      <c r="K27" s="2"/>
      <c r="L27" s="2"/>
      <c r="M27" s="2"/>
    </row>
    <row r="28" spans="1:13" s="9" customFormat="1" ht="18" hidden="1" customHeight="1">
      <c r="A28" s="26">
        <v>1.3</v>
      </c>
      <c r="B28" s="76" t="s">
        <v>20</v>
      </c>
      <c r="C28" s="53"/>
      <c r="D28" s="53"/>
      <c r="E28" s="52">
        <f t="shared" si="0"/>
        <v>0</v>
      </c>
      <c r="F28" s="2"/>
      <c r="G28" s="2"/>
      <c r="H28" s="2"/>
      <c r="I28" s="2"/>
      <c r="J28" s="2"/>
      <c r="K28" s="2"/>
      <c r="L28" s="2"/>
      <c r="M28" s="2"/>
    </row>
    <row r="29" spans="1:13" s="9" customFormat="1" ht="18" customHeight="1">
      <c r="A29" s="20">
        <v>2</v>
      </c>
      <c r="B29" s="73" t="s">
        <v>22</v>
      </c>
      <c r="C29" s="51">
        <v>2500</v>
      </c>
      <c r="D29" s="51">
        <f>1548.7+183.2</f>
        <v>1731.9</v>
      </c>
      <c r="E29" s="52">
        <f t="shared" si="0"/>
        <v>-768.09999999999991</v>
      </c>
      <c r="F29" s="2"/>
      <c r="G29" s="2"/>
      <c r="H29" s="2"/>
      <c r="I29" s="2"/>
      <c r="J29" s="2"/>
      <c r="K29" s="2"/>
      <c r="L29" s="2"/>
      <c r="M29" s="2"/>
    </row>
    <row r="30" spans="1:13" s="9" customFormat="1" ht="18" customHeight="1">
      <c r="A30" s="20">
        <v>3</v>
      </c>
      <c r="B30" s="61" t="s">
        <v>23</v>
      </c>
      <c r="C30" s="51">
        <v>931.6</v>
      </c>
      <c r="D30" s="51">
        <f>356+269.7+80.2</f>
        <v>705.90000000000009</v>
      </c>
      <c r="E30" s="52">
        <f t="shared" si="0"/>
        <v>-225.69999999999993</v>
      </c>
      <c r="F30" s="2"/>
      <c r="G30" s="2"/>
      <c r="H30" s="2"/>
      <c r="I30" s="2"/>
      <c r="J30" s="2"/>
      <c r="K30" s="2"/>
      <c r="L30" s="2"/>
      <c r="M30" s="2"/>
    </row>
    <row r="31" spans="1:13" s="9" customFormat="1" ht="18" customHeight="1">
      <c r="A31" s="20">
        <v>4</v>
      </c>
      <c r="B31" s="61" t="s">
        <v>24</v>
      </c>
      <c r="C31" s="51">
        <v>69.7</v>
      </c>
      <c r="D31" s="51">
        <f>36.8+73.4+31.5</f>
        <v>141.69999999999999</v>
      </c>
      <c r="E31" s="52">
        <f t="shared" si="0"/>
        <v>71.999999999999986</v>
      </c>
      <c r="F31" s="2"/>
      <c r="G31" s="2"/>
      <c r="H31" s="2"/>
      <c r="I31" s="2"/>
      <c r="J31" s="2"/>
      <c r="K31" s="2"/>
      <c r="L31" s="2"/>
      <c r="M31" s="2"/>
    </row>
    <row r="32" spans="1:13" s="9" customFormat="1" ht="18" customHeight="1">
      <c r="A32" s="20">
        <v>5</v>
      </c>
      <c r="B32" s="73" t="s">
        <v>25</v>
      </c>
      <c r="C32" s="51">
        <v>222</v>
      </c>
      <c r="D32" s="51">
        <v>222</v>
      </c>
      <c r="E32" s="52">
        <f t="shared" si="0"/>
        <v>0</v>
      </c>
      <c r="F32" s="2"/>
      <c r="G32" s="2"/>
      <c r="H32" s="2"/>
      <c r="I32" s="2"/>
      <c r="J32" s="2"/>
      <c r="K32" s="2"/>
      <c r="L32" s="2"/>
      <c r="M32" s="2"/>
    </row>
    <row r="33" spans="1:13" s="9" customFormat="1" ht="16.5" customHeight="1">
      <c r="A33" s="20">
        <v>6</v>
      </c>
      <c r="B33" s="73" t="s">
        <v>26</v>
      </c>
      <c r="C33" s="51">
        <v>50</v>
      </c>
      <c r="D33" s="51">
        <f>15+10+10</f>
        <v>35</v>
      </c>
      <c r="E33" s="52">
        <f t="shared" si="0"/>
        <v>-15</v>
      </c>
      <c r="F33" s="54"/>
      <c r="G33" s="54"/>
      <c r="H33" s="54"/>
      <c r="I33" s="2"/>
      <c r="J33" s="2"/>
      <c r="K33" s="2"/>
      <c r="L33" s="2"/>
      <c r="M33" s="2"/>
    </row>
    <row r="34" spans="1:13" s="9" customFormat="1" ht="17.25">
      <c r="A34" s="20">
        <v>7</v>
      </c>
      <c r="B34" s="61" t="s">
        <v>27</v>
      </c>
      <c r="C34" s="52">
        <f>SUM(C35:C37)</f>
        <v>120.2</v>
      </c>
      <c r="D34" s="52">
        <f>SUM(D35:D37)</f>
        <v>80.199999999999989</v>
      </c>
      <c r="E34" s="52">
        <f t="shared" si="0"/>
        <v>-40.000000000000014</v>
      </c>
      <c r="F34" s="2"/>
      <c r="G34" s="2"/>
      <c r="H34" s="2"/>
      <c r="I34" s="2"/>
      <c r="J34" s="2"/>
      <c r="K34" s="2"/>
      <c r="L34" s="2"/>
      <c r="M34" s="2"/>
    </row>
    <row r="35" spans="1:13" s="9" customFormat="1" ht="17.25">
      <c r="A35" s="26">
        <v>7.1</v>
      </c>
      <c r="B35" s="76" t="s">
        <v>28</v>
      </c>
      <c r="C35" s="51">
        <v>86.4</v>
      </c>
      <c r="D35" s="51">
        <f>18.5+28.8+28.8</f>
        <v>76.099999999999994</v>
      </c>
      <c r="E35" s="52">
        <f t="shared" si="0"/>
        <v>-10.300000000000011</v>
      </c>
      <c r="F35" s="2"/>
      <c r="G35" s="2"/>
      <c r="H35" s="2"/>
      <c r="I35" s="2"/>
      <c r="J35" s="2"/>
      <c r="K35" s="2"/>
      <c r="L35" s="2"/>
      <c r="M35" s="2"/>
    </row>
    <row r="36" spans="1:13" s="56" customFormat="1" ht="17.25">
      <c r="A36" s="26">
        <v>7.2</v>
      </c>
      <c r="B36" s="77" t="s">
        <v>29</v>
      </c>
      <c r="C36" s="53">
        <v>33.799999999999997</v>
      </c>
      <c r="D36" s="53">
        <f>1.5+1.4+1.2</f>
        <v>4.0999999999999996</v>
      </c>
      <c r="E36" s="55">
        <f t="shared" si="0"/>
        <v>-29.699999999999996</v>
      </c>
      <c r="F36" s="1"/>
      <c r="G36" s="1"/>
      <c r="H36" s="1"/>
      <c r="I36" s="1"/>
      <c r="J36" s="1"/>
      <c r="K36" s="1"/>
      <c r="L36" s="1"/>
      <c r="M36" s="1"/>
    </row>
    <row r="37" spans="1:13" s="9" customFormat="1" ht="17.25" hidden="1">
      <c r="A37" s="26">
        <v>7.3</v>
      </c>
      <c r="B37" s="77" t="s">
        <v>30</v>
      </c>
      <c r="C37" s="53"/>
      <c r="D37" s="53"/>
      <c r="E37" s="55">
        <f t="shared" si="0"/>
        <v>0</v>
      </c>
      <c r="F37" s="2"/>
      <c r="G37" s="2"/>
      <c r="H37" s="2"/>
      <c r="I37" s="2"/>
      <c r="J37" s="2"/>
      <c r="K37" s="2"/>
      <c r="L37" s="2"/>
      <c r="M37" s="2"/>
    </row>
    <row r="38" spans="1:13" s="9" customFormat="1" ht="18" hidden="1" customHeight="1">
      <c r="A38" s="20">
        <v>8</v>
      </c>
      <c r="B38" s="34" t="s">
        <v>92</v>
      </c>
      <c r="C38" s="53"/>
      <c r="D38" s="53"/>
      <c r="E38" s="55">
        <f t="shared" si="0"/>
        <v>0</v>
      </c>
      <c r="F38" s="2"/>
      <c r="G38" s="2"/>
      <c r="H38" s="2"/>
      <c r="I38" s="2"/>
      <c r="J38" s="2"/>
      <c r="K38" s="2"/>
      <c r="L38" s="2"/>
      <c r="M38" s="2"/>
    </row>
    <row r="39" spans="1:13" s="9" customFormat="1" ht="18" customHeight="1">
      <c r="A39" s="20">
        <v>8</v>
      </c>
      <c r="B39" s="34" t="s">
        <v>31</v>
      </c>
      <c r="C39" s="51">
        <v>45</v>
      </c>
      <c r="D39" s="51">
        <f>15+15+15</f>
        <v>45</v>
      </c>
      <c r="E39" s="52">
        <f t="shared" si="0"/>
        <v>0</v>
      </c>
      <c r="F39" s="2"/>
      <c r="G39" s="2"/>
      <c r="H39" s="2"/>
      <c r="I39" s="2"/>
      <c r="J39" s="2"/>
      <c r="K39" s="2"/>
      <c r="L39" s="2"/>
      <c r="M39" s="2"/>
    </row>
    <row r="40" spans="1:13" s="9" customFormat="1" ht="18" customHeight="1">
      <c r="A40" s="20">
        <v>9</v>
      </c>
      <c r="B40" s="34" t="s">
        <v>32</v>
      </c>
      <c r="C40" s="51">
        <v>500</v>
      </c>
      <c r="D40" s="51">
        <f>100+199.5+196.6</f>
        <v>496.1</v>
      </c>
      <c r="E40" s="52">
        <f t="shared" si="0"/>
        <v>-3.8999999999999773</v>
      </c>
      <c r="F40" s="2"/>
      <c r="G40" s="2"/>
      <c r="H40" s="2"/>
      <c r="I40" s="2"/>
      <c r="J40" s="2"/>
      <c r="K40" s="2"/>
      <c r="L40" s="2"/>
      <c r="M40" s="2"/>
    </row>
    <row r="41" spans="1:13" s="9" customFormat="1" ht="18" customHeight="1">
      <c r="A41" s="20">
        <v>10</v>
      </c>
      <c r="B41" s="34" t="s">
        <v>33</v>
      </c>
      <c r="C41" s="51">
        <v>300</v>
      </c>
      <c r="D41" s="51">
        <f>98.5+127.9</f>
        <v>226.4</v>
      </c>
      <c r="E41" s="52">
        <f t="shared" si="0"/>
        <v>-73.599999999999994</v>
      </c>
      <c r="F41" s="2"/>
      <c r="G41" s="2"/>
      <c r="H41" s="2"/>
      <c r="I41" s="2"/>
      <c r="J41" s="2"/>
      <c r="K41" s="2"/>
      <c r="L41" s="2"/>
      <c r="M41" s="2"/>
    </row>
    <row r="42" spans="1:13" s="9" customFormat="1" ht="18" customHeight="1">
      <c r="A42" s="20">
        <v>11</v>
      </c>
      <c r="B42" s="34" t="s">
        <v>34</v>
      </c>
      <c r="C42" s="51">
        <v>200</v>
      </c>
      <c r="D42" s="51">
        <f>50+107.3</f>
        <v>157.30000000000001</v>
      </c>
      <c r="E42" s="52">
        <f t="shared" si="0"/>
        <v>-42.699999999999989</v>
      </c>
      <c r="F42" s="2"/>
      <c r="G42" s="2"/>
      <c r="H42" s="2"/>
      <c r="I42" s="2"/>
      <c r="J42" s="2"/>
      <c r="K42" s="2"/>
      <c r="L42" s="2"/>
      <c r="M42" s="2"/>
    </row>
    <row r="43" spans="1:13" s="9" customFormat="1" ht="18" customHeight="1">
      <c r="A43" s="20">
        <v>12</v>
      </c>
      <c r="B43" s="34" t="s">
        <v>35</v>
      </c>
      <c r="C43" s="51">
        <v>200</v>
      </c>
      <c r="D43" s="51">
        <f>44+151.3+60+25</f>
        <v>280.3</v>
      </c>
      <c r="E43" s="52">
        <f t="shared" si="0"/>
        <v>80.300000000000011</v>
      </c>
      <c r="F43" s="2"/>
      <c r="G43" s="2"/>
      <c r="H43" s="2"/>
      <c r="I43" s="2"/>
      <c r="J43" s="2"/>
      <c r="K43" s="2"/>
      <c r="L43" s="2"/>
      <c r="M43" s="2"/>
    </row>
    <row r="44" spans="1:13" s="9" customFormat="1" ht="18" customHeight="1">
      <c r="A44" s="20">
        <v>13</v>
      </c>
      <c r="B44" s="34" t="s">
        <v>21</v>
      </c>
      <c r="C44" s="51">
        <v>2205.8000000000002</v>
      </c>
      <c r="D44" s="51">
        <f>791.9+577.3+220.6</f>
        <v>1589.7999999999997</v>
      </c>
      <c r="E44" s="52">
        <f t="shared" si="0"/>
        <v>-616.00000000000045</v>
      </c>
      <c r="F44" s="2"/>
      <c r="G44" s="2"/>
      <c r="H44" s="2"/>
      <c r="I44" s="2"/>
      <c r="J44" s="2"/>
      <c r="K44" s="2"/>
      <c r="L44" s="2"/>
      <c r="M44" s="2"/>
    </row>
    <row r="45" spans="1:13" s="9" customFormat="1" ht="18" customHeight="1">
      <c r="A45" s="20">
        <v>14</v>
      </c>
      <c r="B45" s="34" t="s">
        <v>93</v>
      </c>
      <c r="C45" s="51">
        <v>408</v>
      </c>
      <c r="D45" s="51">
        <f>142.4+107.6</f>
        <v>250</v>
      </c>
      <c r="E45" s="52">
        <f t="shared" si="0"/>
        <v>-158</v>
      </c>
      <c r="F45" s="2"/>
      <c r="G45" s="2"/>
      <c r="H45" s="2"/>
      <c r="I45" s="2"/>
      <c r="J45" s="2"/>
      <c r="K45" s="2"/>
      <c r="L45" s="2"/>
      <c r="M45" s="2"/>
    </row>
    <row r="46" spans="1:13" s="9" customFormat="1" ht="16.5" customHeight="1">
      <c r="A46" s="20">
        <v>15</v>
      </c>
      <c r="B46" s="34" t="s">
        <v>36</v>
      </c>
      <c r="C46" s="51">
        <v>950</v>
      </c>
      <c r="D46" s="51">
        <f>145+280.9+236+270.8</f>
        <v>932.7</v>
      </c>
      <c r="E46" s="52">
        <f t="shared" si="0"/>
        <v>-17.299999999999955</v>
      </c>
      <c r="F46" s="2"/>
      <c r="G46" s="2"/>
      <c r="H46" s="2"/>
      <c r="I46" s="2"/>
      <c r="J46" s="2"/>
      <c r="K46" s="2"/>
      <c r="L46" s="2"/>
      <c r="M46" s="2"/>
    </row>
    <row r="47" spans="1:13" s="9" customFormat="1" ht="18" customHeight="1">
      <c r="A47" s="20">
        <v>16</v>
      </c>
      <c r="B47" s="34" t="s">
        <v>37</v>
      </c>
      <c r="C47" s="51">
        <v>300</v>
      </c>
      <c r="D47" s="51">
        <f>41.2+60+75.6</f>
        <v>176.8</v>
      </c>
      <c r="E47" s="52">
        <f t="shared" si="0"/>
        <v>-123.19999999999999</v>
      </c>
      <c r="F47" s="2"/>
      <c r="G47" s="2"/>
      <c r="H47" s="2"/>
      <c r="I47" s="2"/>
      <c r="J47" s="2"/>
      <c r="K47" s="2"/>
      <c r="L47" s="2"/>
      <c r="M47" s="2"/>
    </row>
    <row r="48" spans="1:13" s="9" customFormat="1" ht="18" hidden="1" customHeight="1">
      <c r="A48" s="20">
        <v>17</v>
      </c>
      <c r="B48" s="34" t="s">
        <v>38</v>
      </c>
      <c r="C48" s="51"/>
      <c r="D48" s="51"/>
      <c r="E48" s="52">
        <f t="shared" si="0"/>
        <v>0</v>
      </c>
      <c r="F48" s="2"/>
      <c r="G48" s="2"/>
      <c r="H48" s="2"/>
      <c r="I48" s="2"/>
      <c r="J48" s="2"/>
      <c r="K48" s="2"/>
      <c r="L48" s="2"/>
      <c r="M48" s="2"/>
    </row>
    <row r="49" spans="1:13" s="9" customFormat="1" ht="18" customHeight="1">
      <c r="A49" s="20">
        <v>17</v>
      </c>
      <c r="B49" s="34" t="s">
        <v>39</v>
      </c>
      <c r="C49" s="51">
        <v>12</v>
      </c>
      <c r="D49" s="51">
        <v>6</v>
      </c>
      <c r="E49" s="52">
        <f t="shared" si="0"/>
        <v>-6</v>
      </c>
      <c r="F49" s="2"/>
      <c r="G49" s="2"/>
      <c r="H49" s="2"/>
      <c r="I49" s="2"/>
      <c r="J49" s="2"/>
      <c r="K49" s="2"/>
      <c r="L49" s="2"/>
      <c r="M49" s="2"/>
    </row>
    <row r="50" spans="1:13" s="9" customFormat="1" ht="18" customHeight="1">
      <c r="A50" s="20">
        <v>18</v>
      </c>
      <c r="B50" s="34" t="s">
        <v>40</v>
      </c>
      <c r="C50" s="51">
        <v>100</v>
      </c>
      <c r="D50" s="51">
        <v>80</v>
      </c>
      <c r="E50" s="52">
        <f t="shared" si="0"/>
        <v>-20</v>
      </c>
      <c r="F50" s="2"/>
      <c r="G50" s="2"/>
      <c r="H50" s="2"/>
      <c r="I50" s="2"/>
      <c r="J50" s="2"/>
      <c r="K50" s="2"/>
      <c r="L50" s="2"/>
      <c r="M50" s="2"/>
    </row>
    <row r="51" spans="1:13" s="9" customFormat="1" ht="18" customHeight="1">
      <c r="A51" s="20">
        <v>19</v>
      </c>
      <c r="B51" s="34" t="s">
        <v>41</v>
      </c>
      <c r="C51" s="51">
        <v>150</v>
      </c>
      <c r="D51" s="51">
        <f>4+12+12</f>
        <v>28</v>
      </c>
      <c r="E51" s="52">
        <f t="shared" si="0"/>
        <v>-122</v>
      </c>
      <c r="F51" s="2"/>
      <c r="G51" s="2"/>
      <c r="H51" s="2"/>
      <c r="I51" s="2"/>
      <c r="J51" s="2"/>
      <c r="K51" s="2"/>
      <c r="L51" s="2"/>
      <c r="M51" s="2"/>
    </row>
    <row r="52" spans="1:13" s="9" customFormat="1" ht="18" customHeight="1">
      <c r="A52" s="20">
        <v>20</v>
      </c>
      <c r="B52" s="34" t="s">
        <v>42</v>
      </c>
      <c r="C52" s="51">
        <v>105</v>
      </c>
      <c r="D52" s="51">
        <v>95</v>
      </c>
      <c r="E52" s="52">
        <f t="shared" si="0"/>
        <v>-10</v>
      </c>
      <c r="F52" s="2"/>
      <c r="G52" s="2"/>
      <c r="H52" s="2"/>
      <c r="I52" s="2"/>
      <c r="J52" s="2"/>
      <c r="K52" s="2"/>
      <c r="L52" s="2"/>
      <c r="M52" s="2"/>
    </row>
    <row r="53" spans="1:13" s="9" customFormat="1" ht="18" customHeight="1">
      <c r="A53" s="20">
        <v>21</v>
      </c>
      <c r="B53" s="34" t="s">
        <v>43</v>
      </c>
      <c r="C53" s="51">
        <v>3</v>
      </c>
      <c r="D53" s="51">
        <v>3</v>
      </c>
      <c r="E53" s="52">
        <f t="shared" si="0"/>
        <v>0</v>
      </c>
      <c r="F53" s="2"/>
      <c r="G53" s="2"/>
      <c r="H53" s="2"/>
      <c r="I53" s="2"/>
      <c r="J53" s="2"/>
      <c r="K53" s="2"/>
      <c r="L53" s="2"/>
      <c r="M53" s="2"/>
    </row>
    <row r="54" spans="1:13" s="9" customFormat="1" ht="18" customHeight="1">
      <c r="A54" s="20">
        <v>22</v>
      </c>
      <c r="B54" s="34" t="s">
        <v>94</v>
      </c>
      <c r="C54" s="51">
        <v>6</v>
      </c>
      <c r="D54" s="51"/>
      <c r="E54" s="52">
        <f t="shared" si="0"/>
        <v>-6</v>
      </c>
      <c r="F54" s="2"/>
      <c r="G54" s="2"/>
      <c r="H54" s="2"/>
      <c r="I54" s="2"/>
      <c r="J54" s="2"/>
      <c r="K54" s="2"/>
      <c r="L54" s="2"/>
      <c r="M54" s="2"/>
    </row>
    <row r="55" spans="1:13" s="9" customFormat="1" ht="18" hidden="1" customHeight="1">
      <c r="A55" s="20">
        <v>25</v>
      </c>
      <c r="B55" s="34" t="s">
        <v>44</v>
      </c>
      <c r="C55" s="51"/>
      <c r="D55" s="51"/>
      <c r="E55" s="52">
        <f t="shared" si="0"/>
        <v>0</v>
      </c>
      <c r="F55" s="2"/>
      <c r="G55" s="2"/>
      <c r="H55" s="2"/>
      <c r="I55" s="2"/>
      <c r="J55" s="2"/>
      <c r="K55" s="2"/>
      <c r="L55" s="2"/>
      <c r="M55" s="2"/>
    </row>
    <row r="56" spans="1:13" s="9" customFormat="1" ht="18" hidden="1" customHeight="1">
      <c r="A56" s="20">
        <v>26</v>
      </c>
      <c r="B56" s="34" t="s">
        <v>45</v>
      </c>
      <c r="C56" s="51"/>
      <c r="D56" s="51"/>
      <c r="E56" s="52">
        <f t="shared" si="0"/>
        <v>0</v>
      </c>
      <c r="F56" s="2"/>
      <c r="G56" s="2"/>
      <c r="H56" s="2"/>
      <c r="I56" s="2"/>
      <c r="J56" s="2"/>
      <c r="K56" s="2"/>
      <c r="L56" s="2"/>
      <c r="M56" s="2"/>
    </row>
    <row r="57" spans="1:13" s="9" customFormat="1" ht="18" hidden="1" customHeight="1">
      <c r="A57" s="20">
        <v>21</v>
      </c>
      <c r="B57" s="34" t="s">
        <v>95</v>
      </c>
      <c r="C57" s="51"/>
      <c r="D57" s="51"/>
      <c r="E57" s="52">
        <f t="shared" si="0"/>
        <v>0</v>
      </c>
      <c r="F57" s="2"/>
      <c r="G57" s="2"/>
      <c r="H57" s="2"/>
      <c r="I57" s="2"/>
      <c r="J57" s="2"/>
      <c r="K57" s="2"/>
      <c r="L57" s="2"/>
      <c r="M57" s="2"/>
    </row>
    <row r="58" spans="1:13" s="9" customFormat="1" ht="20.25" hidden="1" customHeight="1">
      <c r="A58" s="20">
        <v>28</v>
      </c>
      <c r="B58" s="73" t="s">
        <v>115</v>
      </c>
      <c r="C58" s="51"/>
      <c r="D58" s="51"/>
      <c r="E58" s="89">
        <f t="shared" si="0"/>
        <v>0</v>
      </c>
      <c r="F58" s="2"/>
      <c r="G58" s="2"/>
      <c r="H58" s="2"/>
      <c r="I58" s="2"/>
      <c r="J58" s="2"/>
      <c r="K58" s="2"/>
      <c r="L58" s="2"/>
      <c r="M58" s="2"/>
    </row>
    <row r="59" spans="1:13" s="9" customFormat="1" ht="18" hidden="1" customHeight="1">
      <c r="A59" s="20">
        <v>22</v>
      </c>
      <c r="B59" s="73" t="s">
        <v>46</v>
      </c>
      <c r="C59" s="51"/>
      <c r="D59" s="51"/>
      <c r="E59" s="52">
        <f t="shared" si="0"/>
        <v>0</v>
      </c>
      <c r="F59" s="2"/>
      <c r="G59" s="2"/>
      <c r="H59" s="2"/>
      <c r="I59" s="2"/>
      <c r="J59" s="2"/>
      <c r="K59" s="2"/>
      <c r="L59" s="2"/>
      <c r="M59" s="2"/>
    </row>
    <row r="60" spans="1:13" s="9" customFormat="1" ht="16.5" customHeight="1">
      <c r="A60" s="20">
        <v>23</v>
      </c>
      <c r="B60" s="24" t="s">
        <v>121</v>
      </c>
      <c r="C60" s="51">
        <v>12</v>
      </c>
      <c r="D60" s="51"/>
      <c r="E60" s="51">
        <f>D60-C60</f>
        <v>-12</v>
      </c>
      <c r="F60" s="2"/>
      <c r="G60" s="2"/>
      <c r="H60" s="2"/>
      <c r="I60" s="2"/>
      <c r="J60" s="2"/>
      <c r="K60" s="2"/>
      <c r="L60" s="2"/>
      <c r="M60" s="2"/>
    </row>
    <row r="61" spans="1:13" s="9" customFormat="1" ht="18" customHeight="1">
      <c r="A61" s="20">
        <v>24</v>
      </c>
      <c r="B61" s="24" t="s">
        <v>124</v>
      </c>
      <c r="C61" s="51">
        <v>30</v>
      </c>
      <c r="D61" s="51">
        <v>30</v>
      </c>
      <c r="E61" s="51">
        <f>D61-C61</f>
        <v>0</v>
      </c>
      <c r="F61" s="19" t="s">
        <v>116</v>
      </c>
      <c r="G61" s="2"/>
      <c r="H61" s="2"/>
      <c r="I61" s="2"/>
      <c r="J61" s="2"/>
      <c r="K61" s="2"/>
      <c r="L61" s="2"/>
      <c r="M61" s="2"/>
    </row>
    <row r="62" spans="1:13" s="9" customFormat="1" ht="18.75" customHeight="1">
      <c r="A62" s="20">
        <v>25</v>
      </c>
      <c r="B62" s="57" t="s">
        <v>58</v>
      </c>
      <c r="C62" s="52">
        <f>SUM(C63:C65)</f>
        <v>1491.7</v>
      </c>
      <c r="D62" s="52">
        <f>SUM(D63:D65)</f>
        <v>1338.4</v>
      </c>
      <c r="E62" s="52">
        <f t="shared" si="0"/>
        <v>-153.29999999999995</v>
      </c>
      <c r="F62" s="2"/>
      <c r="G62" s="2"/>
      <c r="H62" s="2"/>
      <c r="I62" s="2"/>
      <c r="J62" s="2"/>
      <c r="K62" s="2"/>
      <c r="L62" s="2"/>
      <c r="M62" s="2"/>
    </row>
    <row r="63" spans="1:13" s="9" customFormat="1" ht="18" customHeight="1">
      <c r="A63" s="58">
        <v>25.1</v>
      </c>
      <c r="B63" s="59" t="s">
        <v>4</v>
      </c>
      <c r="C63" s="51">
        <v>266.2</v>
      </c>
      <c r="D63" s="51">
        <f>89.4+89+89</f>
        <v>267.39999999999998</v>
      </c>
      <c r="E63" s="52">
        <f t="shared" si="0"/>
        <v>1.1999999999999886</v>
      </c>
      <c r="F63" s="2"/>
      <c r="G63" s="2"/>
      <c r="H63" s="2"/>
      <c r="I63" s="2"/>
      <c r="J63" s="2"/>
      <c r="K63" s="2"/>
      <c r="L63" s="2"/>
      <c r="M63" s="2"/>
    </row>
    <row r="64" spans="1:13" s="9" customFormat="1" ht="18" customHeight="1">
      <c r="A64" s="58">
        <v>25.2</v>
      </c>
      <c r="B64" s="59" t="s">
        <v>5</v>
      </c>
      <c r="C64" s="51">
        <v>1205.5</v>
      </c>
      <c r="D64" s="51">
        <f>134.6+270+666.4</f>
        <v>1071</v>
      </c>
      <c r="E64" s="52">
        <f t="shared" si="0"/>
        <v>-134.5</v>
      </c>
      <c r="F64" s="2"/>
      <c r="G64" s="2"/>
      <c r="H64" s="2"/>
      <c r="I64" s="2"/>
      <c r="J64" s="2"/>
      <c r="K64" s="2"/>
      <c r="L64" s="2"/>
      <c r="M64" s="2"/>
    </row>
    <row r="65" spans="1:16" s="9" customFormat="1" ht="18" customHeight="1">
      <c r="A65" s="58">
        <v>25.3</v>
      </c>
      <c r="B65" s="59" t="s">
        <v>59</v>
      </c>
      <c r="C65" s="51">
        <v>20</v>
      </c>
      <c r="D65" s="51"/>
      <c r="E65" s="52">
        <f t="shared" si="0"/>
        <v>-20</v>
      </c>
      <c r="F65" s="2"/>
      <c r="G65" s="2"/>
      <c r="H65" s="2"/>
      <c r="I65" s="2"/>
      <c r="J65" s="2"/>
      <c r="K65" s="2"/>
      <c r="L65" s="2"/>
      <c r="M65" s="2"/>
    </row>
    <row r="66" spans="1:16" ht="18" customHeight="1">
      <c r="A66" s="60">
        <v>26</v>
      </c>
      <c r="B66" s="82" t="s">
        <v>49</v>
      </c>
      <c r="C66" s="51">
        <v>27</v>
      </c>
      <c r="D66" s="51">
        <v>6</v>
      </c>
      <c r="E66" s="52">
        <f t="shared" si="0"/>
        <v>-21</v>
      </c>
    </row>
    <row r="67" spans="1:16" s="9" customFormat="1" ht="18" customHeight="1">
      <c r="A67" s="60">
        <v>27</v>
      </c>
      <c r="B67" s="57" t="s">
        <v>60</v>
      </c>
      <c r="C67" s="51">
        <v>2222.6</v>
      </c>
      <c r="D67" s="51">
        <v>2222.6</v>
      </c>
      <c r="E67" s="52">
        <f t="shared" si="0"/>
        <v>0</v>
      </c>
      <c r="F67" s="2"/>
      <c r="G67" s="2"/>
      <c r="H67" s="2"/>
      <c r="I67" s="2"/>
      <c r="J67" s="2"/>
      <c r="K67" s="2"/>
      <c r="L67" s="2"/>
      <c r="M67" s="2"/>
    </row>
    <row r="68" spans="1:16" s="9" customFormat="1" ht="18" customHeight="1">
      <c r="A68" s="60">
        <v>28</v>
      </c>
      <c r="B68" s="61" t="s">
        <v>61</v>
      </c>
      <c r="C68" s="51">
        <v>200</v>
      </c>
      <c r="D68" s="51"/>
      <c r="E68" s="52">
        <f t="shared" si="0"/>
        <v>-200</v>
      </c>
      <c r="F68" s="2"/>
      <c r="G68" s="2"/>
      <c r="H68" s="2"/>
      <c r="I68" s="2"/>
      <c r="J68" s="2"/>
      <c r="K68" s="2"/>
      <c r="L68" s="2"/>
      <c r="M68" s="2"/>
    </row>
    <row r="69" spans="1:16" s="9" customFormat="1" ht="21.75" customHeight="1">
      <c r="A69" s="83" t="s">
        <v>101</v>
      </c>
      <c r="B69" s="48" t="s">
        <v>102</v>
      </c>
      <c r="C69" s="50">
        <f>+C70+C78+C82</f>
        <v>4595</v>
      </c>
      <c r="D69" s="50">
        <f>+D70+D78+D82</f>
        <v>5229.1000000000004</v>
      </c>
      <c r="E69" s="52">
        <f t="shared" si="0"/>
        <v>634.10000000000036</v>
      </c>
      <c r="F69" s="96"/>
      <c r="G69" s="96"/>
      <c r="H69" s="2"/>
      <c r="I69" s="2"/>
      <c r="J69" s="2"/>
      <c r="K69" s="2"/>
      <c r="L69" s="2"/>
      <c r="M69" s="2"/>
    </row>
    <row r="70" spans="1:16" s="9" customFormat="1" ht="18" customHeight="1">
      <c r="A70" s="60">
        <v>1</v>
      </c>
      <c r="B70" s="62" t="s">
        <v>103</v>
      </c>
      <c r="C70" s="52">
        <f>SUM(C71:C77)</f>
        <v>3630</v>
      </c>
      <c r="D70" s="52">
        <f>SUM(D71:D77)</f>
        <v>3951.6</v>
      </c>
      <c r="E70" s="52">
        <f t="shared" si="0"/>
        <v>321.59999999999991</v>
      </c>
      <c r="F70" s="2"/>
      <c r="G70" s="2"/>
      <c r="H70" s="2"/>
      <c r="I70" s="2"/>
      <c r="J70" s="2"/>
      <c r="K70" s="2"/>
      <c r="L70" s="2"/>
      <c r="M70" s="2"/>
    </row>
    <row r="71" spans="1:16" s="9" customFormat="1" ht="18" hidden="1" customHeight="1">
      <c r="A71" s="58">
        <v>1.1000000000000001</v>
      </c>
      <c r="B71" s="63" t="s">
        <v>104</v>
      </c>
      <c r="C71" s="51"/>
      <c r="D71" s="51"/>
      <c r="E71" s="52">
        <f t="shared" ref="E71:E89" si="1">D71-C71</f>
        <v>0</v>
      </c>
      <c r="F71" s="2"/>
      <c r="G71" s="2"/>
      <c r="H71" s="2"/>
      <c r="I71" s="2"/>
      <c r="J71" s="2"/>
      <c r="K71" s="2"/>
      <c r="L71" s="2"/>
      <c r="M71" s="2"/>
    </row>
    <row r="72" spans="1:16" s="9" customFormat="1" ht="18" customHeight="1">
      <c r="A72" s="58">
        <v>1.1000000000000001</v>
      </c>
      <c r="B72" s="63" t="s">
        <v>62</v>
      </c>
      <c r="C72" s="51">
        <v>2500</v>
      </c>
      <c r="D72" s="51">
        <v>2901.6</v>
      </c>
      <c r="E72" s="94">
        <f t="shared" si="1"/>
        <v>401.59999999999991</v>
      </c>
      <c r="F72" s="2"/>
      <c r="G72" s="2"/>
      <c r="H72" s="2"/>
      <c r="I72" s="2"/>
      <c r="J72" s="2"/>
      <c r="K72" s="2"/>
      <c r="L72" s="2"/>
      <c r="M72" s="2"/>
    </row>
    <row r="73" spans="1:16" s="9" customFormat="1" ht="18" customHeight="1">
      <c r="A73" s="58">
        <v>1.2</v>
      </c>
      <c r="B73" s="63" t="s">
        <v>63</v>
      </c>
      <c r="C73" s="53">
        <v>630</v>
      </c>
      <c r="D73" s="51">
        <v>576</v>
      </c>
      <c r="E73" s="94">
        <f t="shared" si="1"/>
        <v>-54</v>
      </c>
      <c r="F73" s="2"/>
      <c r="G73" s="2"/>
      <c r="H73" s="2"/>
      <c r="I73" s="2"/>
      <c r="J73" s="2"/>
      <c r="K73" s="2"/>
      <c r="L73" s="2"/>
      <c r="M73" s="2"/>
    </row>
    <row r="74" spans="1:16" s="9" customFormat="1" ht="18" customHeight="1">
      <c r="A74" s="58">
        <v>1.3</v>
      </c>
      <c r="B74" s="63" t="s">
        <v>64</v>
      </c>
      <c r="C74" s="53">
        <v>500</v>
      </c>
      <c r="D74" s="51">
        <v>474</v>
      </c>
      <c r="E74" s="94">
        <f t="shared" si="1"/>
        <v>-26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9" customFormat="1" ht="18" hidden="1" customHeight="1">
      <c r="A75" s="58">
        <v>1.5</v>
      </c>
      <c r="B75" s="63" t="s">
        <v>65</v>
      </c>
      <c r="C75" s="53"/>
      <c r="D75" s="51"/>
      <c r="E75" s="94">
        <f t="shared" si="1"/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3" customFormat="1" ht="18" hidden="1" customHeight="1">
      <c r="A76" s="58">
        <v>1.3</v>
      </c>
      <c r="B76" s="64" t="s">
        <v>66</v>
      </c>
      <c r="C76" s="53"/>
      <c r="D76" s="51"/>
      <c r="E76" s="95">
        <f>D76-C76</f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3" customFormat="1" ht="18" hidden="1" customHeight="1">
      <c r="A77" s="58">
        <v>1.7</v>
      </c>
      <c r="B77" s="64"/>
      <c r="C77" s="53"/>
      <c r="D77" s="51"/>
      <c r="E77" s="95">
        <f t="shared" si="1"/>
        <v>0</v>
      </c>
      <c r="F77" s="19" t="s">
        <v>113</v>
      </c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9" customFormat="1" ht="21" customHeight="1">
      <c r="A78" s="60">
        <v>2</v>
      </c>
      <c r="B78" s="62" t="s">
        <v>67</v>
      </c>
      <c r="C78" s="52">
        <f>SUM(C79:C81)</f>
        <v>965</v>
      </c>
      <c r="D78" s="52">
        <f>SUM(D79:D81)</f>
        <v>1277.5</v>
      </c>
      <c r="E78" s="94">
        <f t="shared" si="1"/>
        <v>312.5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9" customFormat="1" ht="18" customHeight="1">
      <c r="A79" s="58">
        <v>2.1</v>
      </c>
      <c r="B79" s="65" t="s">
        <v>105</v>
      </c>
      <c r="C79" s="53">
        <v>965</v>
      </c>
      <c r="D79" s="51">
        <v>909.5</v>
      </c>
      <c r="E79" s="94">
        <f t="shared" si="1"/>
        <v>-55.5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9" customFormat="1" ht="18" customHeight="1">
      <c r="A80" s="58">
        <v>2.1</v>
      </c>
      <c r="B80" s="84" t="s">
        <v>106</v>
      </c>
      <c r="C80" s="53"/>
      <c r="D80" s="51">
        <v>368</v>
      </c>
      <c r="E80" s="94">
        <f t="shared" si="1"/>
        <v>368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9" customFormat="1" ht="18" hidden="1" customHeight="1">
      <c r="A81" s="58">
        <v>2.2999999999999998</v>
      </c>
      <c r="B81" s="65" t="s">
        <v>68</v>
      </c>
      <c r="C81" s="53"/>
      <c r="D81" s="51"/>
      <c r="E81" s="52">
        <f t="shared" si="1"/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68" customFormat="1" ht="32.25" hidden="1" customHeight="1">
      <c r="A82" s="60">
        <v>3</v>
      </c>
      <c r="B82" s="66" t="s">
        <v>107</v>
      </c>
      <c r="C82" s="51"/>
      <c r="D82" s="51"/>
      <c r="E82" s="52">
        <f t="shared" si="1"/>
        <v>0</v>
      </c>
      <c r="F82" s="67"/>
      <c r="G82" s="67"/>
      <c r="H82" s="67"/>
      <c r="I82" s="67"/>
      <c r="J82" s="67"/>
      <c r="K82" s="67"/>
      <c r="L82" s="67"/>
      <c r="M82" s="67"/>
    </row>
    <row r="83" spans="1:16" s="9" customFormat="1" ht="15" hidden="1" customHeight="1">
      <c r="A83" s="83" t="s">
        <v>108</v>
      </c>
      <c r="B83" s="48" t="s">
        <v>69</v>
      </c>
      <c r="C83" s="50">
        <f>SUM(C84:C85)</f>
        <v>0</v>
      </c>
      <c r="D83" s="50">
        <f>SUM(D84:D85)</f>
        <v>0</v>
      </c>
      <c r="E83" s="52">
        <f t="shared" si="1"/>
        <v>0</v>
      </c>
      <c r="F83" s="2"/>
      <c r="G83" s="2"/>
      <c r="H83" s="2"/>
      <c r="I83" s="2"/>
      <c r="J83" s="2"/>
      <c r="K83" s="2"/>
      <c r="L83" s="2"/>
      <c r="M83" s="2"/>
    </row>
    <row r="84" spans="1:16" s="9" customFormat="1" ht="17.25" hidden="1" customHeight="1">
      <c r="A84" s="58">
        <v>1</v>
      </c>
      <c r="B84" s="24"/>
      <c r="C84" s="53"/>
      <c r="D84" s="53"/>
      <c r="E84" s="53">
        <f t="shared" si="1"/>
        <v>0</v>
      </c>
      <c r="F84" s="2"/>
      <c r="G84" s="2"/>
      <c r="H84" s="2"/>
      <c r="I84" s="2"/>
      <c r="J84" s="2"/>
      <c r="K84" s="2"/>
      <c r="L84" s="2"/>
      <c r="M84" s="2"/>
    </row>
    <row r="85" spans="1:16" s="56" customFormat="1" ht="17.25" hidden="1" customHeight="1">
      <c r="A85" s="58">
        <v>2</v>
      </c>
      <c r="B85" s="24"/>
      <c r="C85" s="53"/>
      <c r="D85" s="53"/>
      <c r="E85" s="53">
        <f t="shared" si="1"/>
        <v>0</v>
      </c>
      <c r="F85" s="19" t="s">
        <v>114</v>
      </c>
      <c r="G85" s="1"/>
      <c r="H85" s="1"/>
      <c r="I85" s="1"/>
      <c r="J85" s="1"/>
      <c r="K85" s="1"/>
      <c r="L85" s="1"/>
      <c r="M85" s="1"/>
    </row>
    <row r="86" spans="1:16" s="9" customFormat="1" ht="12.75" hidden="1" customHeight="1">
      <c r="A86" s="83" t="s">
        <v>109</v>
      </c>
      <c r="B86" s="48" t="s">
        <v>110</v>
      </c>
      <c r="C86" s="50">
        <f>SUM(C87:C88)</f>
        <v>0</v>
      </c>
      <c r="D86" s="50">
        <f>SUM(D87:D88)</f>
        <v>0</v>
      </c>
      <c r="E86" s="55">
        <f t="shared" si="1"/>
        <v>0</v>
      </c>
      <c r="F86" s="2"/>
      <c r="G86" s="2"/>
      <c r="H86" s="2"/>
      <c r="I86" s="2"/>
      <c r="J86" s="2"/>
      <c r="K86" s="2"/>
      <c r="L86" s="2"/>
      <c r="M86" s="2"/>
    </row>
    <row r="87" spans="1:16" s="9" customFormat="1" ht="15" hidden="1" customHeight="1">
      <c r="A87" s="58">
        <v>1</v>
      </c>
      <c r="B87" s="24" t="s">
        <v>20</v>
      </c>
      <c r="C87" s="53"/>
      <c r="D87" s="53"/>
      <c r="E87" s="53">
        <f t="shared" ref="E87" si="2">D87-C87</f>
        <v>0</v>
      </c>
      <c r="F87" s="2"/>
      <c r="G87" s="2"/>
      <c r="H87" s="2"/>
      <c r="I87" s="2"/>
      <c r="J87" s="2"/>
      <c r="K87" s="2"/>
      <c r="L87" s="2"/>
      <c r="M87" s="2"/>
    </row>
    <row r="88" spans="1:16" s="56" customFormat="1" ht="15.75" hidden="1" customHeight="1">
      <c r="A88" s="58">
        <v>2</v>
      </c>
      <c r="B88" s="85"/>
      <c r="C88" s="51"/>
      <c r="D88" s="51"/>
      <c r="E88" s="51">
        <f t="shared" si="1"/>
        <v>0</v>
      </c>
      <c r="F88" s="19" t="s">
        <v>114</v>
      </c>
      <c r="G88" s="1"/>
      <c r="H88" s="1"/>
      <c r="I88" s="1"/>
      <c r="J88" s="1"/>
      <c r="K88" s="1"/>
      <c r="L88" s="1"/>
      <c r="M88" s="1"/>
    </row>
    <row r="89" spans="1:16" s="56" customFormat="1" ht="36" customHeight="1">
      <c r="A89" s="47" t="s">
        <v>70</v>
      </c>
      <c r="B89" s="48" t="s">
        <v>71</v>
      </c>
      <c r="C89" s="50">
        <f>C6+C7-C23</f>
        <v>2211.4000000000087</v>
      </c>
      <c r="D89" s="50">
        <f>D6+D7-D23</f>
        <v>6891.2299999999959</v>
      </c>
      <c r="E89" s="50">
        <f t="shared" si="1"/>
        <v>4679.8299999999872</v>
      </c>
      <c r="F89" s="1"/>
      <c r="G89" s="1"/>
      <c r="H89" s="1"/>
      <c r="I89" s="1"/>
      <c r="J89" s="1"/>
      <c r="K89" s="1"/>
      <c r="L89" s="1"/>
      <c r="M89" s="1"/>
    </row>
    <row r="90" spans="1:16" s="9" customFormat="1" ht="12.75" customHeight="1">
      <c r="A90" s="69"/>
      <c r="B90" s="70"/>
      <c r="C90" s="40"/>
      <c r="D90" s="40"/>
      <c r="E90" s="40"/>
      <c r="F90" s="2"/>
      <c r="G90" s="2"/>
      <c r="H90" s="2"/>
      <c r="I90" s="2"/>
      <c r="J90" s="2"/>
      <c r="K90" s="2"/>
      <c r="L90" s="2"/>
      <c r="M90" s="2"/>
    </row>
    <row r="91" spans="1:16" s="9" customFormat="1" ht="12.75" customHeight="1">
      <c r="A91" s="69"/>
      <c r="B91" s="71" t="s">
        <v>73</v>
      </c>
      <c r="C91" s="40"/>
      <c r="D91" s="40"/>
      <c r="E91" s="40"/>
      <c r="F91" s="2"/>
      <c r="G91" s="2"/>
      <c r="H91" s="2"/>
      <c r="I91" s="2"/>
      <c r="J91" s="2"/>
      <c r="K91" s="2"/>
      <c r="L91" s="2"/>
      <c r="M91" s="2"/>
    </row>
    <row r="92" spans="1:16" s="9" customFormat="1" ht="24.75" customHeight="1">
      <c r="A92" s="40"/>
      <c r="B92" s="8"/>
      <c r="C92" s="40"/>
      <c r="D92" s="40"/>
      <c r="E92" s="40"/>
      <c r="F92" s="2"/>
      <c r="G92" s="2"/>
      <c r="H92" s="2"/>
      <c r="I92" s="2"/>
      <c r="J92" s="2"/>
      <c r="K92" s="2"/>
      <c r="L92" s="2"/>
      <c r="M92" s="2"/>
    </row>
    <row r="93" spans="1:16" s="9" customFormat="1" ht="24.75" customHeight="1">
      <c r="A93" s="40"/>
      <c r="B93" s="8"/>
      <c r="C93" s="40"/>
      <c r="D93" s="40"/>
      <c r="E93" s="40"/>
      <c r="F93" s="2"/>
      <c r="G93" s="2"/>
      <c r="H93" s="2"/>
      <c r="I93" s="2"/>
      <c r="J93" s="2"/>
      <c r="K93" s="2"/>
      <c r="L93" s="2"/>
      <c r="M93" s="2"/>
    </row>
    <row r="94" spans="1:16" s="9" customFormat="1" ht="24.75" customHeight="1">
      <c r="A94" s="40"/>
      <c r="B94" s="8"/>
      <c r="C94" s="40"/>
      <c r="D94" s="40"/>
      <c r="E94" s="40"/>
      <c r="F94" s="2"/>
      <c r="G94" s="2"/>
      <c r="H94" s="2"/>
      <c r="I94" s="2"/>
      <c r="J94" s="2"/>
      <c r="K94" s="2"/>
      <c r="L94" s="2"/>
      <c r="M94" s="2"/>
    </row>
    <row r="95" spans="1:16" s="9" customFormat="1" ht="17.25">
      <c r="B95" s="86" t="s">
        <v>2</v>
      </c>
      <c r="C95" s="8"/>
      <c r="D95" s="101" t="s">
        <v>117</v>
      </c>
      <c r="E95" s="101"/>
      <c r="F95" s="2"/>
      <c r="G95" s="2"/>
      <c r="H95" s="2"/>
      <c r="I95" s="2"/>
      <c r="J95" s="2"/>
      <c r="K95" s="2"/>
      <c r="L95" s="2"/>
      <c r="M95" s="2"/>
    </row>
    <row r="96" spans="1:16" ht="13.5" customHeight="1">
      <c r="A96" s="9"/>
      <c r="B96" s="9" t="s">
        <v>72</v>
      </c>
      <c r="C96" s="9"/>
      <c r="D96" s="102" t="s">
        <v>54</v>
      </c>
      <c r="E96" s="102"/>
    </row>
    <row r="97" spans="1:5" ht="7.5" customHeight="1">
      <c r="A97" s="9"/>
      <c r="B97" s="9"/>
      <c r="C97" s="9"/>
      <c r="D97" s="42"/>
      <c r="E97" s="42"/>
    </row>
    <row r="98" spans="1:5" ht="17.25">
      <c r="B98" s="56" t="s">
        <v>3</v>
      </c>
      <c r="D98" s="101" t="s">
        <v>118</v>
      </c>
      <c r="E98" s="101"/>
    </row>
    <row r="99" spans="1:5" ht="12" customHeight="1">
      <c r="D99" s="102" t="s">
        <v>54</v>
      </c>
      <c r="E99" s="102"/>
    </row>
    <row r="100" spans="1:5">
      <c r="B100" s="80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D99:E99"/>
    <mergeCell ref="A1:E1"/>
    <mergeCell ref="A2:E2"/>
    <mergeCell ref="A3:E3"/>
    <mergeCell ref="D95:E95"/>
    <mergeCell ref="D96:E96"/>
    <mergeCell ref="D98:E98"/>
  </mergeCells>
  <pageMargins left="0.15748031496062992" right="0.19685039370078741" top="0.23622047244094491" bottom="0.27559055118110237" header="0.15748031496062992" footer="0.1968503937007874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hamematakan'!Print_Area</vt:lpstr>
      <vt:lpstr>'Ekamutneri hamematakan'!Print_Area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2018-11-21T07:47:51Z</dcterms:modified>
</cp:coreProperties>
</file>